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edi-b\OneDrive\Desktop\RECEITAS\"/>
    </mc:Choice>
  </mc:AlternateContent>
  <xr:revisionPtr revIDLastSave="0" documentId="13_ncr:1_{00075917-F81C-4088-9DC0-FEE13C01BA28}" xr6:coauthVersionLast="47" xr6:coauthVersionMax="47" xr10:uidLastSave="{00000000-0000-0000-0000-000000000000}"/>
  <bookViews>
    <workbookView xWindow="-108" yWindow="-108" windowWidth="23256" windowHeight="12456" tabRatio="878" xr2:uid="{00000000-000D-0000-FFFF-FFFF00000000}"/>
  </bookViews>
  <sheets>
    <sheet name="Instruções" sheetId="1" r:id="rId1"/>
    <sheet name="Gr-A" sheetId="2" r:id="rId2"/>
    <sheet name="Gr-B" sheetId="3" r:id="rId3"/>
    <sheet name="Gr-C" sheetId="4" r:id="rId4"/>
    <sheet name="Gr-D" sheetId="5" r:id="rId5"/>
    <sheet name="Gr-E" sheetId="6" r:id="rId6"/>
    <sheet name="Gr-F" sheetId="7" r:id="rId7"/>
    <sheet name="Gr-G" sheetId="8" r:id="rId8"/>
    <sheet name="Gr-H" sheetId="9" r:id="rId9"/>
    <sheet name="Gr-I" sheetId="10" r:id="rId10"/>
    <sheet name="Gr-J" sheetId="11" r:id="rId11"/>
    <sheet name="Gr-K" sheetId="12" r:id="rId12"/>
    <sheet name="Gr-L" sheetId="13" r:id="rId13"/>
    <sheet name="Respecagem" sheetId="14" r:id="rId14"/>
    <sheet name="Mata-Mata" sheetId="15" r:id="rId15"/>
  </sheets>
  <definedNames>
    <definedName name="A2A">'Mata-Mata'!$B$2</definedName>
    <definedName name="D2A">Instruções!$D$2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15" l="1"/>
  <c r="Q48" i="15"/>
  <c r="Q44" i="15"/>
  <c r="I52" i="15" s="1"/>
  <c r="Q43" i="15"/>
  <c r="C52" i="15" s="1"/>
  <c r="Q39" i="15"/>
  <c r="I44" i="15" s="1"/>
  <c r="Q38" i="15"/>
  <c r="C44" i="15" s="1"/>
  <c r="Q37" i="15"/>
  <c r="I43" i="15" s="1"/>
  <c r="Q36" i="15"/>
  <c r="C43" i="15" s="1"/>
  <c r="Q32" i="15"/>
  <c r="I39" i="15" s="1"/>
  <c r="Q31" i="15"/>
  <c r="C39" i="15" s="1"/>
  <c r="Q30" i="15"/>
  <c r="I38" i="15" s="1"/>
  <c r="Q29" i="15"/>
  <c r="C38" i="15" s="1"/>
  <c r="Q28" i="15"/>
  <c r="I37" i="15" s="1"/>
  <c r="Q27" i="15"/>
  <c r="C37" i="15" s="1"/>
  <c r="Q26" i="15"/>
  <c r="I36" i="15" s="1"/>
  <c r="Q25" i="15"/>
  <c r="C36" i="15" s="1"/>
  <c r="Q20" i="15"/>
  <c r="I32" i="15" s="1"/>
  <c r="Q19" i="15"/>
  <c r="C32" i="15" s="1"/>
  <c r="Q18" i="15"/>
  <c r="I31" i="15" s="1"/>
  <c r="Q17" i="15"/>
  <c r="C31" i="15" s="1"/>
  <c r="Q16" i="15"/>
  <c r="I30" i="15" s="1"/>
  <c r="Q15" i="15"/>
  <c r="C30" i="15" s="1"/>
  <c r="Q14" i="15"/>
  <c r="I29" i="15" s="1"/>
  <c r="Q13" i="15"/>
  <c r="C29" i="15" s="1"/>
  <c r="Q12" i="15"/>
  <c r="I28" i="15" s="1"/>
  <c r="Q11" i="15"/>
  <c r="C28" i="15" s="1"/>
  <c r="Q10" i="15"/>
  <c r="I27" i="15" s="1"/>
  <c r="Q9" i="15"/>
  <c r="C27" i="15" s="1"/>
  <c r="Q8" i="15"/>
  <c r="I26" i="15" s="1"/>
  <c r="H16" i="14"/>
  <c r="H15" i="14"/>
  <c r="H14" i="14"/>
  <c r="H13" i="14"/>
  <c r="H12" i="14"/>
  <c r="H11" i="14"/>
  <c r="H10" i="14"/>
  <c r="H9" i="14"/>
  <c r="H8" i="14"/>
  <c r="H7" i="14"/>
  <c r="H6" i="14"/>
  <c r="H5" i="14"/>
  <c r="P1" i="14"/>
  <c r="W17" i="13"/>
  <c r="V17" i="13"/>
  <c r="U17" i="13"/>
  <c r="T17" i="13"/>
  <c r="S17" i="13"/>
  <c r="R17" i="13"/>
  <c r="Q17" i="13"/>
  <c r="W16" i="13"/>
  <c r="V16" i="13"/>
  <c r="U16" i="13"/>
  <c r="T16" i="13"/>
  <c r="S16" i="13"/>
  <c r="R16" i="13"/>
  <c r="Q16" i="13"/>
  <c r="W15" i="13"/>
  <c r="V15" i="13"/>
  <c r="U15" i="13"/>
  <c r="T15" i="13"/>
  <c r="S15" i="13"/>
  <c r="R15" i="13"/>
  <c r="Q15" i="13"/>
  <c r="W14" i="13"/>
  <c r="V14" i="13"/>
  <c r="U14" i="13"/>
  <c r="T14" i="13"/>
  <c r="S14" i="13"/>
  <c r="R14" i="13"/>
  <c r="Q14" i="13"/>
  <c r="H10" i="13"/>
  <c r="B10" i="13"/>
  <c r="H9" i="13"/>
  <c r="B9" i="13"/>
  <c r="H8" i="13"/>
  <c r="B8" i="13"/>
  <c r="H7" i="13"/>
  <c r="B7" i="13"/>
  <c r="H6" i="13"/>
  <c r="B6" i="13"/>
  <c r="H5" i="13"/>
  <c r="B5" i="13"/>
  <c r="W17" i="12"/>
  <c r="V17" i="12"/>
  <c r="U17" i="12"/>
  <c r="T17" i="12"/>
  <c r="S17" i="12"/>
  <c r="R17" i="12"/>
  <c r="Q17" i="12"/>
  <c r="W16" i="12"/>
  <c r="V16" i="12"/>
  <c r="U16" i="12"/>
  <c r="T16" i="12"/>
  <c r="S16" i="12"/>
  <c r="R16" i="12"/>
  <c r="Q16" i="12"/>
  <c r="W15" i="12"/>
  <c r="V15" i="12"/>
  <c r="U15" i="12"/>
  <c r="T15" i="12"/>
  <c r="S15" i="12"/>
  <c r="R15" i="12"/>
  <c r="Q15" i="12"/>
  <c r="W14" i="12"/>
  <c r="V14" i="12"/>
  <c r="U14" i="12"/>
  <c r="T14" i="12"/>
  <c r="S14" i="12"/>
  <c r="R14" i="12"/>
  <c r="Q14" i="12"/>
  <c r="H10" i="12"/>
  <c r="B10" i="12"/>
  <c r="H9" i="12"/>
  <c r="B9" i="12"/>
  <c r="H8" i="12"/>
  <c r="B8" i="12"/>
  <c r="H7" i="12"/>
  <c r="B7" i="12"/>
  <c r="H6" i="12"/>
  <c r="B6" i="12"/>
  <c r="H5" i="12"/>
  <c r="B5" i="12"/>
  <c r="W17" i="11"/>
  <c r="V17" i="11"/>
  <c r="U17" i="11"/>
  <c r="T17" i="11"/>
  <c r="S17" i="11"/>
  <c r="R17" i="11"/>
  <c r="Q17" i="11"/>
  <c r="W16" i="11"/>
  <c r="V16" i="11"/>
  <c r="U16" i="11"/>
  <c r="T16" i="11"/>
  <c r="S16" i="11"/>
  <c r="R16" i="11"/>
  <c r="Q16" i="11"/>
  <c r="W15" i="11"/>
  <c r="V15" i="11"/>
  <c r="U15" i="11"/>
  <c r="T15" i="11"/>
  <c r="S15" i="11"/>
  <c r="R15" i="11"/>
  <c r="Q15" i="11"/>
  <c r="W14" i="11"/>
  <c r="V14" i="11"/>
  <c r="U14" i="11"/>
  <c r="T14" i="11"/>
  <c r="S14" i="11"/>
  <c r="R14" i="11"/>
  <c r="Q14" i="11"/>
  <c r="H10" i="11"/>
  <c r="B10" i="11"/>
  <c r="H9" i="11"/>
  <c r="B9" i="11"/>
  <c r="H8" i="11"/>
  <c r="B8" i="11"/>
  <c r="H7" i="11"/>
  <c r="B7" i="11"/>
  <c r="H6" i="11"/>
  <c r="B6" i="11"/>
  <c r="H5" i="11"/>
  <c r="B5" i="11"/>
  <c r="W17" i="10"/>
  <c r="V17" i="10"/>
  <c r="U17" i="10"/>
  <c r="T17" i="10"/>
  <c r="S17" i="10"/>
  <c r="R17" i="10"/>
  <c r="Q17" i="10"/>
  <c r="W16" i="10"/>
  <c r="V16" i="10"/>
  <c r="U16" i="10"/>
  <c r="T16" i="10"/>
  <c r="S16" i="10"/>
  <c r="R16" i="10"/>
  <c r="Q16" i="10"/>
  <c r="W15" i="10"/>
  <c r="V15" i="10"/>
  <c r="U15" i="10"/>
  <c r="T15" i="10"/>
  <c r="S15" i="10"/>
  <c r="R15" i="10"/>
  <c r="Q15" i="10"/>
  <c r="W14" i="10"/>
  <c r="V14" i="10"/>
  <c r="U14" i="10"/>
  <c r="T14" i="10"/>
  <c r="S14" i="10"/>
  <c r="R14" i="10"/>
  <c r="Q14" i="10"/>
  <c r="H10" i="10"/>
  <c r="B10" i="10"/>
  <c r="H9" i="10"/>
  <c r="B9" i="10"/>
  <c r="H8" i="10"/>
  <c r="B8" i="10"/>
  <c r="H7" i="10"/>
  <c r="B7" i="10"/>
  <c r="H6" i="10"/>
  <c r="B6" i="10"/>
  <c r="H5" i="10"/>
  <c r="B5" i="10"/>
  <c r="W17" i="9"/>
  <c r="V17" i="9"/>
  <c r="U17" i="9"/>
  <c r="T17" i="9"/>
  <c r="S17" i="9"/>
  <c r="R17" i="9"/>
  <c r="Q17" i="9"/>
  <c r="W16" i="9"/>
  <c r="V16" i="9"/>
  <c r="U16" i="9"/>
  <c r="T16" i="9"/>
  <c r="S16" i="9"/>
  <c r="R16" i="9"/>
  <c r="Q16" i="9"/>
  <c r="W15" i="9"/>
  <c r="V15" i="9"/>
  <c r="U15" i="9"/>
  <c r="T15" i="9"/>
  <c r="S15" i="9"/>
  <c r="R15" i="9"/>
  <c r="Q15" i="9"/>
  <c r="W14" i="9"/>
  <c r="V14" i="9"/>
  <c r="U14" i="9"/>
  <c r="T14" i="9"/>
  <c r="S14" i="9"/>
  <c r="R14" i="9"/>
  <c r="Q14" i="9"/>
  <c r="H10" i="9"/>
  <c r="B10" i="9"/>
  <c r="H9" i="9"/>
  <c r="B9" i="9"/>
  <c r="H8" i="9"/>
  <c r="B8" i="9"/>
  <c r="H7" i="9"/>
  <c r="B7" i="9"/>
  <c r="H6" i="9"/>
  <c r="B6" i="9"/>
  <c r="H5" i="9"/>
  <c r="B5" i="9"/>
  <c r="W17" i="8"/>
  <c r="V17" i="8"/>
  <c r="U17" i="8"/>
  <c r="T17" i="8"/>
  <c r="S17" i="8"/>
  <c r="R17" i="8"/>
  <c r="Q17" i="8"/>
  <c r="W16" i="8"/>
  <c r="V16" i="8"/>
  <c r="U16" i="8"/>
  <c r="T16" i="8"/>
  <c r="S16" i="8"/>
  <c r="R16" i="8"/>
  <c r="Q16" i="8"/>
  <c r="W15" i="8"/>
  <c r="V15" i="8"/>
  <c r="U15" i="8"/>
  <c r="T15" i="8"/>
  <c r="S15" i="8"/>
  <c r="R15" i="8"/>
  <c r="Q15" i="8"/>
  <c r="W14" i="8"/>
  <c r="V14" i="8"/>
  <c r="U14" i="8"/>
  <c r="T14" i="8"/>
  <c r="S14" i="8"/>
  <c r="R14" i="8"/>
  <c r="Q14" i="8"/>
  <c r="H10" i="8"/>
  <c r="B10" i="8"/>
  <c r="H9" i="8"/>
  <c r="B9" i="8"/>
  <c r="H8" i="8"/>
  <c r="B8" i="8"/>
  <c r="H7" i="8"/>
  <c r="B7" i="8"/>
  <c r="H6" i="8"/>
  <c r="B6" i="8"/>
  <c r="H5" i="8"/>
  <c r="B5" i="8"/>
  <c r="W17" i="7"/>
  <c r="V17" i="7"/>
  <c r="U17" i="7"/>
  <c r="T17" i="7"/>
  <c r="S17" i="7"/>
  <c r="R17" i="7"/>
  <c r="Q17" i="7"/>
  <c r="W16" i="7"/>
  <c r="V16" i="7"/>
  <c r="U16" i="7"/>
  <c r="T16" i="7"/>
  <c r="S16" i="7"/>
  <c r="R16" i="7"/>
  <c r="Q16" i="7"/>
  <c r="W15" i="7"/>
  <c r="V15" i="7"/>
  <c r="U15" i="7"/>
  <c r="T15" i="7"/>
  <c r="S15" i="7"/>
  <c r="R15" i="7"/>
  <c r="Q15" i="7"/>
  <c r="W14" i="7"/>
  <c r="V14" i="7"/>
  <c r="U14" i="7"/>
  <c r="T14" i="7"/>
  <c r="S14" i="7"/>
  <c r="R14" i="7"/>
  <c r="Q14" i="7"/>
  <c r="H10" i="7"/>
  <c r="B10" i="7"/>
  <c r="H9" i="7"/>
  <c r="B9" i="7"/>
  <c r="H8" i="7"/>
  <c r="B8" i="7"/>
  <c r="H7" i="7"/>
  <c r="B7" i="7"/>
  <c r="H6" i="7"/>
  <c r="B6" i="7"/>
  <c r="H5" i="7"/>
  <c r="B5" i="7"/>
  <c r="W17" i="6"/>
  <c r="V17" i="6"/>
  <c r="U17" i="6"/>
  <c r="T17" i="6"/>
  <c r="S17" i="6"/>
  <c r="R17" i="6"/>
  <c r="Q17" i="6"/>
  <c r="W16" i="6"/>
  <c r="V16" i="6"/>
  <c r="U16" i="6"/>
  <c r="T16" i="6"/>
  <c r="S16" i="6"/>
  <c r="R16" i="6"/>
  <c r="Q16" i="6"/>
  <c r="W15" i="6"/>
  <c r="V15" i="6"/>
  <c r="U15" i="6"/>
  <c r="T15" i="6"/>
  <c r="S15" i="6"/>
  <c r="R15" i="6"/>
  <c r="Q15" i="6"/>
  <c r="W14" i="6"/>
  <c r="V14" i="6"/>
  <c r="U14" i="6"/>
  <c r="T14" i="6"/>
  <c r="S14" i="6"/>
  <c r="R14" i="6"/>
  <c r="Q14" i="6"/>
  <c r="H10" i="6"/>
  <c r="B10" i="6"/>
  <c r="H9" i="6"/>
  <c r="B9" i="6"/>
  <c r="H8" i="6"/>
  <c r="B8" i="6"/>
  <c r="H7" i="6"/>
  <c r="B7" i="6"/>
  <c r="H6" i="6"/>
  <c r="B6" i="6"/>
  <c r="H5" i="6"/>
  <c r="B5" i="6"/>
  <c r="W17" i="5"/>
  <c r="V17" i="5"/>
  <c r="U17" i="5"/>
  <c r="T17" i="5"/>
  <c r="S17" i="5"/>
  <c r="R17" i="5"/>
  <c r="Q17" i="5"/>
  <c r="W16" i="5"/>
  <c r="V16" i="5"/>
  <c r="U16" i="5"/>
  <c r="T16" i="5"/>
  <c r="S16" i="5"/>
  <c r="R16" i="5"/>
  <c r="Q16" i="5"/>
  <c r="W15" i="5"/>
  <c r="V15" i="5"/>
  <c r="X15" i="5" s="1"/>
  <c r="U15" i="5"/>
  <c r="T15" i="5"/>
  <c r="S15" i="5"/>
  <c r="R15" i="5"/>
  <c r="Q15" i="5"/>
  <c r="W14" i="5"/>
  <c r="V14" i="5"/>
  <c r="U14" i="5"/>
  <c r="T14" i="5"/>
  <c r="S14" i="5"/>
  <c r="R14" i="5"/>
  <c r="Q14" i="5"/>
  <c r="H10" i="5"/>
  <c r="B10" i="5"/>
  <c r="H9" i="5"/>
  <c r="B9" i="5"/>
  <c r="H8" i="5"/>
  <c r="B8" i="5"/>
  <c r="H7" i="5"/>
  <c r="B7" i="5"/>
  <c r="H6" i="5"/>
  <c r="B6" i="5"/>
  <c r="H5" i="5"/>
  <c r="B5" i="5"/>
  <c r="W17" i="4"/>
  <c r="V17" i="4"/>
  <c r="U17" i="4"/>
  <c r="T17" i="4"/>
  <c r="S17" i="4"/>
  <c r="R17" i="4"/>
  <c r="Q17" i="4"/>
  <c r="W16" i="4"/>
  <c r="V16" i="4"/>
  <c r="U16" i="4"/>
  <c r="T16" i="4"/>
  <c r="S16" i="4"/>
  <c r="R16" i="4"/>
  <c r="Q16" i="4"/>
  <c r="W15" i="4"/>
  <c r="V15" i="4"/>
  <c r="U15" i="4"/>
  <c r="T15" i="4"/>
  <c r="S15" i="4"/>
  <c r="R15" i="4"/>
  <c r="Q15" i="4"/>
  <c r="W14" i="4"/>
  <c r="V14" i="4"/>
  <c r="U14" i="4"/>
  <c r="T14" i="4"/>
  <c r="S14" i="4"/>
  <c r="R14" i="4"/>
  <c r="Q14" i="4"/>
  <c r="H10" i="4"/>
  <c r="B10" i="4"/>
  <c r="H9" i="4"/>
  <c r="B9" i="4"/>
  <c r="H8" i="4"/>
  <c r="B8" i="4"/>
  <c r="H7" i="4"/>
  <c r="B7" i="4"/>
  <c r="H6" i="4"/>
  <c r="B6" i="4"/>
  <c r="H5" i="4"/>
  <c r="B5" i="4"/>
  <c r="W17" i="3"/>
  <c r="V17" i="3"/>
  <c r="U17" i="3"/>
  <c r="T17" i="3"/>
  <c r="S17" i="3"/>
  <c r="R17" i="3"/>
  <c r="Q17" i="3"/>
  <c r="W16" i="3"/>
  <c r="V16" i="3"/>
  <c r="U16" i="3"/>
  <c r="T16" i="3"/>
  <c r="S16" i="3"/>
  <c r="R16" i="3"/>
  <c r="Q16" i="3"/>
  <c r="W15" i="3"/>
  <c r="V15" i="3"/>
  <c r="X15" i="3" s="1"/>
  <c r="U15" i="3"/>
  <c r="T15" i="3"/>
  <c r="S15" i="3"/>
  <c r="R15" i="3"/>
  <c r="Q15" i="3"/>
  <c r="W14" i="3"/>
  <c r="V14" i="3"/>
  <c r="U14" i="3"/>
  <c r="T14" i="3"/>
  <c r="S14" i="3"/>
  <c r="R14" i="3"/>
  <c r="Q14" i="3"/>
  <c r="H10" i="3"/>
  <c r="B10" i="3"/>
  <c r="H9" i="3"/>
  <c r="B9" i="3"/>
  <c r="H8" i="3"/>
  <c r="B8" i="3"/>
  <c r="H7" i="3"/>
  <c r="B7" i="3"/>
  <c r="H6" i="3"/>
  <c r="B6" i="3"/>
  <c r="H5" i="3"/>
  <c r="B5" i="3"/>
  <c r="W17" i="2"/>
  <c r="V17" i="2"/>
  <c r="U17" i="2"/>
  <c r="T17" i="2"/>
  <c r="S17" i="2"/>
  <c r="R17" i="2"/>
  <c r="Q17" i="2"/>
  <c r="W16" i="2"/>
  <c r="V16" i="2"/>
  <c r="U16" i="2"/>
  <c r="T16" i="2"/>
  <c r="S16" i="2"/>
  <c r="R16" i="2"/>
  <c r="Q16" i="2"/>
  <c r="W15" i="2"/>
  <c r="V15" i="2"/>
  <c r="U15" i="2"/>
  <c r="T15" i="2"/>
  <c r="S15" i="2"/>
  <c r="R15" i="2"/>
  <c r="Q15" i="2"/>
  <c r="W14" i="2"/>
  <c r="V14" i="2"/>
  <c r="U14" i="2"/>
  <c r="T14" i="2"/>
  <c r="S14" i="2"/>
  <c r="R14" i="2"/>
  <c r="Q14" i="2"/>
  <c r="H10" i="2"/>
  <c r="B10" i="2"/>
  <c r="H9" i="2"/>
  <c r="B9" i="2"/>
  <c r="H8" i="2"/>
  <c r="B8" i="2"/>
  <c r="H7" i="2"/>
  <c r="B7" i="2"/>
  <c r="H6" i="2"/>
  <c r="B6" i="2"/>
  <c r="H5" i="2"/>
  <c r="B5" i="2"/>
  <c r="X16" i="7" l="1"/>
  <c r="Y16" i="3"/>
  <c r="Y14" i="2"/>
  <c r="Y16" i="4"/>
  <c r="X14" i="7"/>
  <c r="X16" i="9"/>
  <c r="Y15" i="10"/>
  <c r="Y16" i="11"/>
  <c r="X16" i="11"/>
  <c r="Y17" i="12"/>
  <c r="X16" i="13"/>
  <c r="X15" i="13"/>
  <c r="Y16" i="13"/>
  <c r="X17" i="13"/>
  <c r="X14" i="13"/>
  <c r="Y14" i="13"/>
  <c r="Y15" i="12"/>
  <c r="X15" i="12"/>
  <c r="Z15" i="12" s="1"/>
  <c r="X16" i="12"/>
  <c r="X17" i="12"/>
  <c r="X14" i="12"/>
  <c r="Y14" i="12"/>
  <c r="X15" i="11"/>
  <c r="X17" i="11"/>
  <c r="X14" i="11"/>
  <c r="Y14" i="11"/>
  <c r="X15" i="10"/>
  <c r="X16" i="10"/>
  <c r="X17" i="10"/>
  <c r="Y17" i="10"/>
  <c r="X14" i="10"/>
  <c r="Y14" i="10"/>
  <c r="Y16" i="9"/>
  <c r="X17" i="9"/>
  <c r="X14" i="9"/>
  <c r="Y14" i="9"/>
  <c r="X15" i="9"/>
  <c r="X15" i="8"/>
  <c r="Z15" i="8" s="1"/>
  <c r="X14" i="8"/>
  <c r="X16" i="8"/>
  <c r="X17" i="8"/>
  <c r="Y17" i="8"/>
  <c r="Z17" i="8" s="1"/>
  <c r="Y14" i="8"/>
  <c r="Y15" i="8"/>
  <c r="Y14" i="7"/>
  <c r="Y16" i="7"/>
  <c r="X17" i="7"/>
  <c r="X15" i="7"/>
  <c r="X15" i="6"/>
  <c r="X16" i="6"/>
  <c r="X17" i="6"/>
  <c r="Y17" i="6"/>
  <c r="Z17" i="6" s="1"/>
  <c r="X14" i="6"/>
  <c r="Y15" i="6"/>
  <c r="Y14" i="6"/>
  <c r="Y15" i="5"/>
  <c r="Z15" i="5" s="1"/>
  <c r="X17" i="5"/>
  <c r="X16" i="5"/>
  <c r="Y16" i="5"/>
  <c r="X14" i="5"/>
  <c r="Y14" i="5"/>
  <c r="Y15" i="4"/>
  <c r="Y14" i="4"/>
  <c r="X17" i="4"/>
  <c r="X16" i="4"/>
  <c r="Y17" i="4"/>
  <c r="X14" i="4"/>
  <c r="X15" i="4"/>
  <c r="X14" i="3"/>
  <c r="X16" i="3"/>
  <c r="X17" i="3"/>
  <c r="Y17" i="3"/>
  <c r="Y15" i="3"/>
  <c r="Z15" i="3" s="1"/>
  <c r="Y14" i="3"/>
  <c r="X17" i="2"/>
  <c r="X14" i="2"/>
  <c r="Y16" i="2"/>
  <c r="X16" i="2"/>
  <c r="X15" i="2"/>
  <c r="Y17" i="2"/>
  <c r="Y15" i="2"/>
  <c r="I48" i="15"/>
  <c r="Y16" i="6"/>
  <c r="Y15" i="7"/>
  <c r="Y16" i="8"/>
  <c r="Y15" i="9"/>
  <c r="Y16" i="10"/>
  <c r="Y15" i="11"/>
  <c r="Y16" i="12"/>
  <c r="Y15" i="13"/>
  <c r="Y17" i="5"/>
  <c r="Y17" i="7"/>
  <c r="Y17" i="9"/>
  <c r="Y17" i="11"/>
  <c r="Y17" i="13"/>
  <c r="C48" i="15"/>
  <c r="Z17" i="13" l="1"/>
  <c r="Z16" i="13"/>
  <c r="Z15" i="13"/>
  <c r="Z14" i="10"/>
  <c r="Z15" i="10"/>
  <c r="Z16" i="7"/>
  <c r="Z17" i="7"/>
  <c r="Z14" i="7"/>
  <c r="Z17" i="4"/>
  <c r="Z16" i="3"/>
  <c r="Z14" i="2"/>
  <c r="Z14" i="3"/>
  <c r="Z16" i="4"/>
  <c r="Z16" i="9"/>
  <c r="Z16" i="11"/>
  <c r="Z17" i="12"/>
  <c r="Z14" i="13"/>
  <c r="Z16" i="12"/>
  <c r="Z14" i="12"/>
  <c r="Z15" i="11"/>
  <c r="Z17" i="11"/>
  <c r="Z14" i="11"/>
  <c r="Z16" i="10"/>
  <c r="Z17" i="10"/>
  <c r="Z14" i="9"/>
  <c r="Z17" i="9"/>
  <c r="Z15" i="9"/>
  <c r="Z14" i="8"/>
  <c r="Z16" i="8"/>
  <c r="AA16" i="8" s="1"/>
  <c r="Z15" i="7"/>
  <c r="Z15" i="6"/>
  <c r="Z16" i="6"/>
  <c r="Z14" i="6"/>
  <c r="Z17" i="5"/>
  <c r="Z16" i="5"/>
  <c r="Z14" i="5"/>
  <c r="Z15" i="4"/>
  <c r="Z14" i="4"/>
  <c r="Z17" i="3"/>
  <c r="Z15" i="2"/>
  <c r="Z16" i="2"/>
  <c r="Z17" i="2"/>
  <c r="AA17" i="3" l="1"/>
  <c r="AA14" i="3"/>
  <c r="M15" i="3" s="1"/>
  <c r="AA14" i="13"/>
  <c r="L14" i="13" s="1"/>
  <c r="AA16" i="10"/>
  <c r="AA16" i="9"/>
  <c r="AA16" i="7"/>
  <c r="AA16" i="3"/>
  <c r="AA14" i="10"/>
  <c r="J14" i="10" s="1"/>
  <c r="AA16" i="12"/>
  <c r="AA15" i="12"/>
  <c r="AA16" i="13"/>
  <c r="AA17" i="13"/>
  <c r="K16" i="13" s="1"/>
  <c r="AA15" i="13"/>
  <c r="L15" i="13" s="1"/>
  <c r="I9" i="15"/>
  <c r="C16" i="15"/>
  <c r="J14" i="13"/>
  <c r="O14" i="13"/>
  <c r="K14" i="13"/>
  <c r="M14" i="13"/>
  <c r="AA17" i="12"/>
  <c r="AA14" i="12"/>
  <c r="AA17" i="11"/>
  <c r="AA14" i="11"/>
  <c r="AA15" i="11"/>
  <c r="P15" i="11" s="1"/>
  <c r="AA16" i="11"/>
  <c r="M15" i="11" s="1"/>
  <c r="AA15" i="10"/>
  <c r="N16" i="10" s="1"/>
  <c r="AA17" i="10"/>
  <c r="L17" i="10" s="1"/>
  <c r="C6" i="15"/>
  <c r="Q6" i="15" s="1"/>
  <c r="I25" i="15" s="1"/>
  <c r="AA15" i="9"/>
  <c r="AA14" i="9"/>
  <c r="L14" i="9" s="1"/>
  <c r="AA17" i="9"/>
  <c r="AA15" i="8"/>
  <c r="AA17" i="8"/>
  <c r="AA14" i="8"/>
  <c r="AA15" i="7"/>
  <c r="AA14" i="7"/>
  <c r="AA17" i="7"/>
  <c r="AA17" i="6"/>
  <c r="AA15" i="6"/>
  <c r="AA14" i="6"/>
  <c r="AA16" i="6"/>
  <c r="AA16" i="5"/>
  <c r="AA15" i="5"/>
  <c r="AA17" i="5"/>
  <c r="AA14" i="5"/>
  <c r="AA17" i="4"/>
  <c r="AA14" i="4"/>
  <c r="AA15" i="4"/>
  <c r="AA16" i="4"/>
  <c r="AA15" i="3"/>
  <c r="I7" i="15"/>
  <c r="C19" i="15"/>
  <c r="I16" i="3"/>
  <c r="N6" i="14"/>
  <c r="K6" i="14"/>
  <c r="AA14" i="2"/>
  <c r="P14" i="2" s="1"/>
  <c r="C15" i="15"/>
  <c r="AA15" i="2"/>
  <c r="AA16" i="2"/>
  <c r="AA17" i="2"/>
  <c r="J15" i="13"/>
  <c r="B17" i="7" l="1"/>
  <c r="L15" i="3"/>
  <c r="J17" i="3"/>
  <c r="K16" i="3"/>
  <c r="J15" i="3"/>
  <c r="J14" i="3"/>
  <c r="K15" i="3"/>
  <c r="N15" i="3"/>
  <c r="I15" i="3"/>
  <c r="P15" i="3"/>
  <c r="B16" i="3"/>
  <c r="J6" i="14"/>
  <c r="B15" i="3"/>
  <c r="O15" i="3"/>
  <c r="I14" i="13"/>
  <c r="M15" i="13"/>
  <c r="P15" i="13"/>
  <c r="B15" i="13"/>
  <c r="B14" i="13"/>
  <c r="N15" i="13"/>
  <c r="O15" i="13"/>
  <c r="K15" i="13"/>
  <c r="N14" i="13"/>
  <c r="P14" i="13"/>
  <c r="I15" i="13"/>
  <c r="B17" i="13"/>
  <c r="J16" i="14"/>
  <c r="L16" i="13"/>
  <c r="O17" i="13"/>
  <c r="B15" i="11"/>
  <c r="L15" i="10"/>
  <c r="J17" i="10"/>
  <c r="O14" i="9"/>
  <c r="M14" i="9"/>
  <c r="K10" i="14"/>
  <c r="O16" i="3"/>
  <c r="P14" i="3"/>
  <c r="P16" i="3"/>
  <c r="M16" i="3"/>
  <c r="I14" i="3"/>
  <c r="L17" i="3"/>
  <c r="I17" i="3"/>
  <c r="N17" i="3"/>
  <c r="I6" i="14"/>
  <c r="O14" i="3"/>
  <c r="K17" i="3"/>
  <c r="K14" i="3"/>
  <c r="P17" i="3"/>
  <c r="O17" i="3"/>
  <c r="N16" i="3"/>
  <c r="M17" i="3"/>
  <c r="B17" i="3"/>
  <c r="L14" i="3"/>
  <c r="J16" i="3"/>
  <c r="B14" i="3"/>
  <c r="N14" i="3"/>
  <c r="L16" i="3"/>
  <c r="M14" i="3"/>
  <c r="I14" i="2"/>
  <c r="L14" i="2"/>
  <c r="J14" i="2"/>
  <c r="P14" i="7"/>
  <c r="L15" i="7"/>
  <c r="J15" i="7"/>
  <c r="B15" i="7"/>
  <c r="M15" i="7"/>
  <c r="N16" i="7"/>
  <c r="I16" i="7"/>
  <c r="J10" i="14"/>
  <c r="K14" i="7"/>
  <c r="J16" i="7"/>
  <c r="K15" i="7"/>
  <c r="O15" i="7"/>
  <c r="K16" i="7"/>
  <c r="P14" i="9"/>
  <c r="P16" i="9"/>
  <c r="J14" i="9"/>
  <c r="K13" i="14"/>
  <c r="P14" i="10"/>
  <c r="B16" i="10"/>
  <c r="B14" i="10"/>
  <c r="K14" i="10"/>
  <c r="I13" i="14"/>
  <c r="K17" i="10"/>
  <c r="O14" i="10"/>
  <c r="N14" i="10"/>
  <c r="K16" i="10"/>
  <c r="L14" i="10"/>
  <c r="I14" i="10"/>
  <c r="I16" i="10"/>
  <c r="N13" i="14"/>
  <c r="M14" i="10"/>
  <c r="C14" i="15"/>
  <c r="M17" i="10"/>
  <c r="N17" i="10"/>
  <c r="J16" i="10"/>
  <c r="N15" i="10"/>
  <c r="I16" i="11"/>
  <c r="O16" i="11"/>
  <c r="I16" i="13"/>
  <c r="K16" i="14"/>
  <c r="P16" i="13"/>
  <c r="B16" i="13"/>
  <c r="K17" i="13"/>
  <c r="O16" i="13"/>
  <c r="M17" i="13"/>
  <c r="N17" i="13"/>
  <c r="I17" i="13"/>
  <c r="M16" i="13"/>
  <c r="J17" i="13"/>
  <c r="J16" i="13"/>
  <c r="N16" i="13"/>
  <c r="L17" i="13"/>
  <c r="N16" i="14"/>
  <c r="P17" i="13"/>
  <c r="I16" i="14"/>
  <c r="M16" i="12"/>
  <c r="C20" i="15"/>
  <c r="C9" i="15"/>
  <c r="P15" i="12"/>
  <c r="I17" i="12"/>
  <c r="O14" i="12"/>
  <c r="L17" i="12"/>
  <c r="J16" i="12"/>
  <c r="B17" i="12"/>
  <c r="J14" i="12"/>
  <c r="P16" i="12"/>
  <c r="N15" i="12"/>
  <c r="K15" i="12"/>
  <c r="P17" i="12"/>
  <c r="J15" i="14"/>
  <c r="O16" i="12"/>
  <c r="I14" i="12"/>
  <c r="N17" i="12"/>
  <c r="N14" i="12"/>
  <c r="K14" i="12"/>
  <c r="B14" i="12"/>
  <c r="B15" i="12"/>
  <c r="N16" i="12"/>
  <c r="P14" i="12"/>
  <c r="M17" i="12"/>
  <c r="K16" i="12"/>
  <c r="K17" i="12"/>
  <c r="I15" i="14"/>
  <c r="I16" i="12"/>
  <c r="M14" i="12"/>
  <c r="J17" i="12"/>
  <c r="L15" i="12"/>
  <c r="N15" i="14"/>
  <c r="O17" i="12"/>
  <c r="L14" i="12"/>
  <c r="M15" i="12"/>
  <c r="J15" i="12"/>
  <c r="O15" i="12"/>
  <c r="L16" i="12"/>
  <c r="I15" i="12"/>
  <c r="K15" i="14"/>
  <c r="B16" i="12"/>
  <c r="K14" i="11"/>
  <c r="B14" i="11"/>
  <c r="N14" i="11"/>
  <c r="P14" i="11"/>
  <c r="I14" i="11"/>
  <c r="C17" i="15"/>
  <c r="I10" i="15"/>
  <c r="J14" i="14"/>
  <c r="K17" i="11"/>
  <c r="I17" i="11"/>
  <c r="N17" i="11"/>
  <c r="N16" i="11"/>
  <c r="K15" i="11"/>
  <c r="L16" i="11"/>
  <c r="O15" i="11"/>
  <c r="B17" i="11"/>
  <c r="L15" i="11"/>
  <c r="K16" i="11"/>
  <c r="P17" i="11"/>
  <c r="J17" i="11"/>
  <c r="B16" i="11"/>
  <c r="J14" i="11"/>
  <c r="O17" i="11"/>
  <c r="M14" i="11"/>
  <c r="N14" i="14"/>
  <c r="J15" i="11"/>
  <c r="M17" i="11"/>
  <c r="I14" i="14"/>
  <c r="P16" i="11"/>
  <c r="N15" i="11"/>
  <c r="K14" i="14"/>
  <c r="I15" i="11"/>
  <c r="O14" i="11"/>
  <c r="L17" i="11"/>
  <c r="J16" i="11"/>
  <c r="L14" i="11"/>
  <c r="M16" i="11"/>
  <c r="B17" i="10"/>
  <c r="O16" i="10"/>
  <c r="B15" i="10"/>
  <c r="J15" i="10"/>
  <c r="I17" i="10"/>
  <c r="O15" i="10"/>
  <c r="P17" i="10"/>
  <c r="L16" i="10"/>
  <c r="K15" i="10"/>
  <c r="P16" i="10"/>
  <c r="P15" i="10"/>
  <c r="I15" i="10"/>
  <c r="J13" i="14"/>
  <c r="M15" i="10"/>
  <c r="M16" i="10"/>
  <c r="O17" i="10"/>
  <c r="I16" i="9"/>
  <c r="L17" i="9"/>
  <c r="J16" i="9"/>
  <c r="N15" i="9"/>
  <c r="B16" i="9"/>
  <c r="K16" i="9"/>
  <c r="L15" i="9"/>
  <c r="O16" i="9"/>
  <c r="C10" i="15"/>
  <c r="I17" i="15"/>
  <c r="M15" i="9"/>
  <c r="I17" i="9"/>
  <c r="I12" i="14"/>
  <c r="M16" i="9"/>
  <c r="K17" i="9"/>
  <c r="K12" i="14"/>
  <c r="L16" i="9"/>
  <c r="B14" i="9"/>
  <c r="N17" i="9"/>
  <c r="B17" i="9"/>
  <c r="N14" i="9"/>
  <c r="I14" i="9"/>
  <c r="K14" i="9"/>
  <c r="P17" i="9"/>
  <c r="N16" i="9"/>
  <c r="O15" i="9"/>
  <c r="J12" i="14"/>
  <c r="J17" i="9"/>
  <c r="P15" i="9"/>
  <c r="N12" i="14"/>
  <c r="M17" i="9"/>
  <c r="O17" i="9"/>
  <c r="I15" i="9"/>
  <c r="J15" i="9"/>
  <c r="B15" i="9"/>
  <c r="K15" i="9"/>
  <c r="N14" i="8"/>
  <c r="C12" i="15"/>
  <c r="I18" i="15"/>
  <c r="K16" i="8"/>
  <c r="N11" i="14"/>
  <c r="J11" i="14"/>
  <c r="P17" i="8"/>
  <c r="J17" i="8"/>
  <c r="B17" i="8"/>
  <c r="K17" i="8"/>
  <c r="P15" i="8"/>
  <c r="I17" i="8"/>
  <c r="I15" i="8"/>
  <c r="L15" i="8"/>
  <c r="J14" i="8"/>
  <c r="N16" i="8"/>
  <c r="J16" i="8"/>
  <c r="M14" i="8"/>
  <c r="K11" i="14"/>
  <c r="I11" i="14"/>
  <c r="L17" i="8"/>
  <c r="I14" i="8"/>
  <c r="I16" i="8"/>
  <c r="B16" i="8"/>
  <c r="J15" i="8"/>
  <c r="M15" i="8"/>
  <c r="N17" i="8"/>
  <c r="O16" i="8"/>
  <c r="L16" i="8"/>
  <c r="P14" i="8"/>
  <c r="M16" i="8"/>
  <c r="B14" i="8"/>
  <c r="N15" i="8"/>
  <c r="O15" i="8"/>
  <c r="B15" i="8"/>
  <c r="K15" i="8"/>
  <c r="P16" i="8"/>
  <c r="M17" i="8"/>
  <c r="L14" i="8"/>
  <c r="O17" i="8"/>
  <c r="K14" i="8"/>
  <c r="O14" i="8"/>
  <c r="K17" i="7"/>
  <c r="C8" i="15"/>
  <c r="C13" i="15"/>
  <c r="I17" i="7"/>
  <c r="M14" i="7"/>
  <c r="M17" i="7"/>
  <c r="J17" i="7"/>
  <c r="B16" i="7"/>
  <c r="J14" i="7"/>
  <c r="O17" i="7"/>
  <c r="I15" i="7"/>
  <c r="P16" i="7"/>
  <c r="N15" i="7"/>
  <c r="L14" i="7"/>
  <c r="M16" i="7"/>
  <c r="O14" i="7"/>
  <c r="P17" i="7"/>
  <c r="L17" i="7"/>
  <c r="B14" i="7"/>
  <c r="N17" i="7"/>
  <c r="P15" i="7"/>
  <c r="I10" i="14"/>
  <c r="O16" i="7"/>
  <c r="I14" i="7"/>
  <c r="N10" i="14"/>
  <c r="L16" i="7"/>
  <c r="N14" i="7"/>
  <c r="B14" i="6"/>
  <c r="C5" i="15"/>
  <c r="Q5" i="15" s="1"/>
  <c r="C25" i="15" s="1"/>
  <c r="I13" i="15"/>
  <c r="N17" i="6"/>
  <c r="K16" i="6"/>
  <c r="I16" i="6"/>
  <c r="M17" i="6"/>
  <c r="M15" i="6"/>
  <c r="P16" i="6"/>
  <c r="P14" i="6"/>
  <c r="N9" i="14"/>
  <c r="O16" i="6"/>
  <c r="K15" i="6"/>
  <c r="J17" i="6"/>
  <c r="J16" i="6"/>
  <c r="K14" i="6"/>
  <c r="J15" i="6"/>
  <c r="I17" i="6"/>
  <c r="I15" i="6"/>
  <c r="I9" i="14"/>
  <c r="B17" i="6"/>
  <c r="B16" i="6"/>
  <c r="I14" i="6"/>
  <c r="P15" i="6"/>
  <c r="M16" i="6"/>
  <c r="K9" i="14"/>
  <c r="P17" i="6"/>
  <c r="L17" i="6"/>
  <c r="N16" i="6"/>
  <c r="J14" i="6"/>
  <c r="N14" i="6"/>
  <c r="O14" i="6"/>
  <c r="K17" i="6"/>
  <c r="O15" i="6"/>
  <c r="N15" i="6"/>
  <c r="B15" i="6"/>
  <c r="J9" i="14"/>
  <c r="L14" i="6"/>
  <c r="L16" i="6"/>
  <c r="L15" i="6"/>
  <c r="M14" i="6"/>
  <c r="O17" i="6"/>
  <c r="C11" i="15"/>
  <c r="C18" i="15"/>
  <c r="B17" i="5"/>
  <c r="N15" i="5"/>
  <c r="I17" i="5"/>
  <c r="N14" i="5"/>
  <c r="M15" i="5"/>
  <c r="P17" i="5"/>
  <c r="J15" i="5"/>
  <c r="K16" i="5"/>
  <c r="I8" i="14"/>
  <c r="P15" i="5"/>
  <c r="I14" i="5"/>
  <c r="I16" i="5"/>
  <c r="P14" i="5"/>
  <c r="L15" i="5"/>
  <c r="J14" i="5"/>
  <c r="L16" i="5"/>
  <c r="J16" i="5"/>
  <c r="O14" i="5"/>
  <c r="O15" i="5"/>
  <c r="J17" i="5"/>
  <c r="N16" i="5"/>
  <c r="N17" i="5"/>
  <c r="K17" i="5"/>
  <c r="J8" i="14"/>
  <c r="K15" i="5"/>
  <c r="M17" i="5"/>
  <c r="M14" i="5"/>
  <c r="K8" i="14"/>
  <c r="B16" i="5"/>
  <c r="N8" i="14"/>
  <c r="O17" i="5"/>
  <c r="L17" i="5"/>
  <c r="O16" i="5"/>
  <c r="P16" i="5"/>
  <c r="L14" i="5"/>
  <c r="I15" i="5"/>
  <c r="B14" i="5"/>
  <c r="K14" i="5"/>
  <c r="B15" i="5"/>
  <c r="M16" i="5"/>
  <c r="M17" i="4"/>
  <c r="N7" i="14"/>
  <c r="I15" i="4"/>
  <c r="J14" i="4"/>
  <c r="P14" i="4"/>
  <c r="L17" i="4"/>
  <c r="J16" i="4"/>
  <c r="I16" i="4"/>
  <c r="B14" i="4"/>
  <c r="N16" i="4"/>
  <c r="I14" i="15"/>
  <c r="I8" i="15"/>
  <c r="B15" i="4"/>
  <c r="N17" i="4"/>
  <c r="L14" i="4"/>
  <c r="B17" i="4"/>
  <c r="I17" i="4"/>
  <c r="O15" i="4"/>
  <c r="B16" i="4"/>
  <c r="N14" i="4"/>
  <c r="P17" i="4"/>
  <c r="K7" i="14"/>
  <c r="J15" i="4"/>
  <c r="M14" i="4"/>
  <c r="K16" i="4"/>
  <c r="P16" i="4"/>
  <c r="L15" i="4"/>
  <c r="I14" i="4"/>
  <c r="K17" i="4"/>
  <c r="K14" i="4"/>
  <c r="O17" i="4"/>
  <c r="M16" i="4"/>
  <c r="J17" i="4"/>
  <c r="N15" i="4"/>
  <c r="K15" i="4"/>
  <c r="L16" i="4"/>
  <c r="O14" i="4"/>
  <c r="J7" i="14"/>
  <c r="I7" i="14"/>
  <c r="O16" i="4"/>
  <c r="M15" i="4"/>
  <c r="P15" i="4"/>
  <c r="K14" i="2"/>
  <c r="J5" i="14"/>
  <c r="M14" i="2"/>
  <c r="K5" i="14"/>
  <c r="N14" i="2"/>
  <c r="B14" i="2"/>
  <c r="O14" i="2"/>
  <c r="K17" i="2"/>
  <c r="I15" i="2"/>
  <c r="I5" i="14"/>
  <c r="I16" i="2"/>
  <c r="M17" i="2"/>
  <c r="O16" i="2"/>
  <c r="K15" i="2"/>
  <c r="L16" i="2"/>
  <c r="B16" i="2"/>
  <c r="P16" i="2"/>
  <c r="P17" i="2"/>
  <c r="B15" i="2"/>
  <c r="N17" i="2"/>
  <c r="C7" i="15"/>
  <c r="Q7" i="15" s="1"/>
  <c r="C26" i="15" s="1"/>
  <c r="L15" i="2"/>
  <c r="J17" i="2"/>
  <c r="M15" i="2"/>
  <c r="B17" i="2"/>
  <c r="N16" i="2"/>
  <c r="M16" i="2"/>
  <c r="J15" i="2"/>
  <c r="N15" i="2"/>
  <c r="P15" i="2"/>
  <c r="K16" i="2"/>
  <c r="J16" i="2"/>
  <c r="O15" i="2"/>
  <c r="N5" i="14"/>
  <c r="O17" i="2"/>
  <c r="I17" i="2"/>
  <c r="L17" i="2"/>
  <c r="L6" i="14" l="1"/>
  <c r="L16" i="14"/>
  <c r="L13" i="14"/>
  <c r="L5" i="14"/>
  <c r="L10" i="14"/>
  <c r="L15" i="14"/>
  <c r="L14" i="14"/>
  <c r="L12" i="14"/>
  <c r="L11" i="14"/>
  <c r="L9" i="14"/>
  <c r="L8" i="14"/>
  <c r="L7" i="14"/>
  <c r="M13" i="14" l="1"/>
  <c r="M11" i="14"/>
  <c r="M10" i="14"/>
  <c r="M6" i="14"/>
  <c r="M14" i="14"/>
  <c r="M7" i="14"/>
  <c r="M12" i="14"/>
  <c r="M16" i="14"/>
  <c r="M15" i="14"/>
  <c r="M8" i="14"/>
  <c r="M9" i="14"/>
  <c r="M5" i="14"/>
  <c r="I20" i="15" l="1"/>
  <c r="I6" i="15"/>
  <c r="I12" i="15"/>
  <c r="I19" i="15"/>
  <c r="I11" i="15"/>
  <c r="I16" i="15"/>
  <c r="I5" i="15"/>
  <c r="I15" i="15"/>
  <c r="E24" i="14"/>
  <c r="E23" i="14"/>
  <c r="C24" i="14"/>
  <c r="D24" i="14"/>
  <c r="F24" i="14"/>
  <c r="E31" i="14"/>
  <c r="F28" i="14"/>
  <c r="E21" i="14"/>
  <c r="C26" i="14"/>
  <c r="E28" i="14"/>
  <c r="C29" i="14"/>
  <c r="E29" i="14"/>
  <c r="E25" i="14"/>
  <c r="B26" i="14"/>
  <c r="D22" i="14"/>
  <c r="D21" i="14"/>
  <c r="C28" i="14"/>
  <c r="F23" i="14"/>
  <c r="B25" i="14"/>
  <c r="F29" i="14"/>
  <c r="B27" i="14"/>
  <c r="E32" i="14"/>
  <c r="C21" i="14"/>
  <c r="B22" i="14"/>
  <c r="B31" i="14"/>
  <c r="D27" i="14"/>
  <c r="C25" i="14"/>
  <c r="D26" i="14"/>
  <c r="C31" i="14"/>
  <c r="B24" i="14"/>
  <c r="F30" i="14"/>
  <c r="D25" i="14"/>
  <c r="D23" i="14"/>
  <c r="B32" i="14"/>
  <c r="F31" i="14"/>
  <c r="B23" i="14"/>
  <c r="C22" i="14"/>
  <c r="E30" i="14"/>
  <c r="F21" i="14"/>
  <c r="C23" i="14"/>
  <c r="C32" i="14"/>
  <c r="E26" i="14"/>
  <c r="E22" i="14"/>
  <c r="D31" i="14"/>
  <c r="D30" i="14"/>
  <c r="D29" i="14"/>
  <c r="F27" i="14"/>
  <c r="F32" i="14"/>
  <c r="E27" i="14"/>
  <c r="C30" i="14"/>
  <c r="D32" i="14"/>
  <c r="F25" i="14"/>
  <c r="B28" i="14"/>
  <c r="F22" i="14"/>
  <c r="F26" i="14"/>
  <c r="B29" i="14"/>
  <c r="C27" i="14"/>
  <c r="B30" i="14"/>
  <c r="B21" i="14"/>
  <c r="D28" i="14"/>
</calcChain>
</file>

<file path=xl/sharedStrings.xml><?xml version="1.0" encoding="utf-8"?>
<sst xmlns="http://schemas.openxmlformats.org/spreadsheetml/2006/main" count="973" uniqueCount="256">
  <si>
    <t>COPA DO MUNDO FIFA 2026  ·  GRUPO A</t>
  </si>
  <si>
    <t>▶  JOGOS DA FASE DE GRUPOS   (preencha apenas os placares em azul)</t>
  </si>
  <si>
    <t>Rodada</t>
  </si>
  <si>
    <t>Mandante</t>
  </si>
  <si>
    <t>GD</t>
  </si>
  <si>
    <t>GV</t>
  </si>
  <si>
    <t>Visitante</t>
  </si>
  <si>
    <t>Local</t>
  </si>
  <si>
    <t>11/06 # 16h</t>
  </si>
  <si>
    <t>✕</t>
  </si>
  <si>
    <t>NAVEGUE PELOS GRUPOS</t>
  </si>
  <si>
    <t>México</t>
  </si>
  <si>
    <t>11/06 # 23h</t>
  </si>
  <si>
    <t>A</t>
  </si>
  <si>
    <t>B</t>
  </si>
  <si>
    <t>C</t>
  </si>
  <si>
    <t>D</t>
  </si>
  <si>
    <t>África do Sul</t>
  </si>
  <si>
    <t>18/06 # 13h</t>
  </si>
  <si>
    <t>Atlanta</t>
  </si>
  <si>
    <t>E</t>
  </si>
  <si>
    <t>F</t>
  </si>
  <si>
    <t>G</t>
  </si>
  <si>
    <t>H</t>
  </si>
  <si>
    <t>Coreia do Sul</t>
  </si>
  <si>
    <t>18/06 # 22h</t>
  </si>
  <si>
    <t>Guadalajara</t>
  </si>
  <si>
    <t>I</t>
  </si>
  <si>
    <t>J</t>
  </si>
  <si>
    <t>K</t>
  </si>
  <si>
    <t>L</t>
  </si>
  <si>
    <t>República Tcheca</t>
  </si>
  <si>
    <t>24/06 # 22h</t>
  </si>
  <si>
    <t>Cidade do México</t>
  </si>
  <si>
    <t>Monterrey</t>
  </si>
  <si>
    <t>Tudo Excel</t>
  </si>
  <si>
    <t>▶  CLASSIFICAÇÃO  (atualização automática)</t>
  </si>
  <si>
    <t>Pos</t>
  </si>
  <si>
    <t>Seleção</t>
  </si>
  <si>
    <t>V</t>
  </si>
  <si>
    <t>GP</t>
  </si>
  <si>
    <t>GC</t>
  </si>
  <si>
    <t>SG</t>
  </si>
  <si>
    <t>PTS</t>
  </si>
  <si>
    <t>🟢 1º e 2º classificados   🟡 3º colocado (pode avançar se for top-8)   🔴 Eliminado</t>
  </si>
  <si>
    <t>⚽  COPA DO MUNDO FIFA 2026  ·  TABELA INTERATIVA</t>
  </si>
  <si>
    <t>Planilha criada por Edivaldo - Site https//www.tudoexcel.com.br</t>
  </si>
  <si>
    <t>🔵 COMO USAR</t>
  </si>
  <si>
    <t>1.  Preencha APENAS as células em azul (os placares dos jogos)</t>
  </si>
  <si>
    <t>2.  As classificações de cada grupo atualizam automaticamente</t>
  </si>
  <si>
    <t>Colaborador</t>
  </si>
  <si>
    <t>3.  Na aba '3os Lugares', os 8 melhores avançam (ranking automático)</t>
  </si>
  <si>
    <t>guiadecompra.com</t>
  </si>
  <si>
    <t>4.  Na aba 'Mata-Mata', os nomes dos classificados aparecem automaticamente</t>
  </si>
  <si>
    <t>Primeiro site a divulgar a tabela em Excel em 2006</t>
  </si>
  <si>
    <t>📋 CRITÉRIOS DE DESEMPATE (Fase de Grupos)</t>
  </si>
  <si>
    <t>Hoje, cria reviews de produtos para você comprar os melhores e pelo melhor preço</t>
  </si>
  <si>
    <t>1º  Pontos  |  2º  Saldo de gols  |  3º  Gols marcados  |  4º  Confronto direto (verificar manualmente)</t>
  </si>
  <si>
    <t>⚽ MATA-MATA — COMO PREENCHER</t>
  </si>
  <si>
    <t>• Se um jogo terminar EMPATADO no tempo normal: preencha Prorrogação (células amarelas)</t>
  </si>
  <si>
    <t>• Se o placar continuar empatado após a prorrogação: preencha Pênaltis (células laranja)</t>
  </si>
  <si>
    <t>• A coluna 'Classificado' atualiza automaticamente em cada fase</t>
  </si>
  <si>
    <t>📅 DATAS</t>
  </si>
  <si>
    <t>Fase de Grupos: 11 a 27 de junho</t>
  </si>
  <si>
    <t>Rodada de 32:   28 jun – 3 jul</t>
  </si>
  <si>
    <t>Oitavas:         4 – 7 de julho</t>
  </si>
  <si>
    <t>Quartas:         9 – 11 de julho</t>
  </si>
  <si>
    <t>Semifinais:      14 – 15 de julho</t>
  </si>
  <si>
    <t>3º Lugar:        18 de julho  (Miami)</t>
  </si>
  <si>
    <t>FINAL:           19 de julho  (MetLife Stadium, Nova York)</t>
  </si>
  <si>
    <t>⚠️  NOTA SOBRE O CHAVEAMENTO</t>
  </si>
  <si>
    <t>O chaveamento da Rodada de 32 está pré-configurado com base no calendário oficial FIFA.</t>
  </si>
  <si>
    <t>Os confrontos 2C×1F e 1C×2F são confirmados; os demais seguem distribuição geográfica.</t>
  </si>
  <si>
    <t>Os slots de 3os colocados dependem de quais grupos classificam para cada vaga.</t>
  </si>
  <si>
    <t>COPA DO MUNDO FIFA 2026  ·  GRUPO B</t>
  </si>
  <si>
    <t>12/06 # 16h</t>
  </si>
  <si>
    <t>Toronto Field</t>
  </si>
  <si>
    <t>Canadá</t>
  </si>
  <si>
    <t>13/06 # 16h</t>
  </si>
  <si>
    <t>Santa Clara</t>
  </si>
  <si>
    <t>Bósnia-Herzegovina</t>
  </si>
  <si>
    <t>18/06 # 16h</t>
  </si>
  <si>
    <t>Los Angeles</t>
  </si>
  <si>
    <t>Catar</t>
  </si>
  <si>
    <t>18/06 # 19h</t>
  </si>
  <si>
    <t>Vancouver</t>
  </si>
  <si>
    <t>Suíça</t>
  </si>
  <si>
    <t>24/06 # 16h</t>
  </si>
  <si>
    <t>Seattle</t>
  </si>
  <si>
    <t>COPA DO MUNDO FIFA 2026  ·  GRUPO C</t>
  </si>
  <si>
    <t>13/06 # 19h</t>
  </si>
  <si>
    <t>Nova Jersey</t>
  </si>
  <si>
    <t>Brasil</t>
  </si>
  <si>
    <t>13/06 # 22h</t>
  </si>
  <si>
    <t>Boston</t>
  </si>
  <si>
    <t>Marrocos</t>
  </si>
  <si>
    <t>19/06 # 19h</t>
  </si>
  <si>
    <t>Haiti</t>
  </si>
  <si>
    <t>19/06 # 22h</t>
  </si>
  <si>
    <t>Filadélfia</t>
  </si>
  <si>
    <t>Escócia</t>
  </si>
  <si>
    <t>24/06 # 19h</t>
  </si>
  <si>
    <t>Miami</t>
  </si>
  <si>
    <t>COPA DO MUNDO FIFA 2026  ·  GRUPO D</t>
  </si>
  <si>
    <t>12/06 # 22h</t>
  </si>
  <si>
    <t>Estados Unidos</t>
  </si>
  <si>
    <t>14/06 # 01h</t>
  </si>
  <si>
    <t>Vancouver Place</t>
  </si>
  <si>
    <t>Paraguai</t>
  </si>
  <si>
    <t>19/06 # 16h</t>
  </si>
  <si>
    <t>Austrália</t>
  </si>
  <si>
    <t>20/06 # 01h</t>
  </si>
  <si>
    <t>São Francisco</t>
  </si>
  <si>
    <t>Turquia</t>
  </si>
  <si>
    <t>25/06 # 23h</t>
  </si>
  <si>
    <t>COPA DO MUNDO FIFA 2026  ·  GRUPO E</t>
  </si>
  <si>
    <t>14/06 # 14h</t>
  </si>
  <si>
    <t>Houston</t>
  </si>
  <si>
    <t>Alemanha</t>
  </si>
  <si>
    <t>14/06 # 20h</t>
  </si>
  <si>
    <t>Curaçao</t>
  </si>
  <si>
    <t>20/06 # 17h</t>
  </si>
  <si>
    <t>Toronto</t>
  </si>
  <si>
    <t>Costa do Marfim</t>
  </si>
  <si>
    <t>20/06 # 21h</t>
  </si>
  <si>
    <t>Kansas City</t>
  </si>
  <si>
    <t>Equador</t>
  </si>
  <si>
    <t>25/06 # 17h</t>
  </si>
  <si>
    <t>COPA DO MUNDO FIFA 2026  ·  GRUPO F</t>
  </si>
  <si>
    <t>14/06 # 17h</t>
  </si>
  <si>
    <t>Dallas</t>
  </si>
  <si>
    <t>Holanda</t>
  </si>
  <si>
    <t>14/06 # 23h</t>
  </si>
  <si>
    <t>Japão</t>
  </si>
  <si>
    <t>20/06 # 14h</t>
  </si>
  <si>
    <t>Suécia</t>
  </si>
  <si>
    <t>21/06 # 01h</t>
  </si>
  <si>
    <t>Tunísia</t>
  </si>
  <si>
    <t>25/06 # 20h</t>
  </si>
  <si>
    <t>COPA DO MUNDO FIFA 2026  ·  GRUPO G</t>
  </si>
  <si>
    <t>15/06 # 16h</t>
  </si>
  <si>
    <t>Seattle Field</t>
  </si>
  <si>
    <t>Bélgica</t>
  </si>
  <si>
    <t>15/06 # 22h</t>
  </si>
  <si>
    <t>Egito</t>
  </si>
  <si>
    <t>21/06 # 16h</t>
  </si>
  <si>
    <t>Irã</t>
  </si>
  <si>
    <t>21/06 # 22h</t>
  </si>
  <si>
    <t>Nova Zelândia</t>
  </si>
  <si>
    <t>27/06 # 00h</t>
  </si>
  <si>
    <t>COPA DO MUNDO FIFA 2026  ·  GRUPO H</t>
  </si>
  <si>
    <t>15/06 # 13h</t>
  </si>
  <si>
    <t>Espanha</t>
  </si>
  <si>
    <t>15/06 # 19h</t>
  </si>
  <si>
    <t>Cabo Verde</t>
  </si>
  <si>
    <t>21/06 # 13h</t>
  </si>
  <si>
    <t>Arábia Saudita</t>
  </si>
  <si>
    <t>21/06 # 19h</t>
  </si>
  <si>
    <t>Uruguai</t>
  </si>
  <si>
    <t>26/06 # 21h</t>
  </si>
  <si>
    <t>COPA DO MUNDO FIFA 2026  ·  GRUPO I</t>
  </si>
  <si>
    <t>16/06 # 16h</t>
  </si>
  <si>
    <t>França</t>
  </si>
  <si>
    <t>16/06 # 19h</t>
  </si>
  <si>
    <t>Senegal</t>
  </si>
  <si>
    <t>22/06 # 18h</t>
  </si>
  <si>
    <t>Iraque</t>
  </si>
  <si>
    <t>22/06 # 21h</t>
  </si>
  <si>
    <t>Noruega</t>
  </si>
  <si>
    <t>26/06 # 16h</t>
  </si>
  <si>
    <t>COPA DO MUNDO FIFA 2026  ·  GRUPO J</t>
  </si>
  <si>
    <t>16/06 # 22h</t>
  </si>
  <si>
    <t>Argentina</t>
  </si>
  <si>
    <t>17/06 # 01h</t>
  </si>
  <si>
    <t>Argélia</t>
  </si>
  <si>
    <t>22/06 # 14h</t>
  </si>
  <si>
    <t>Áustria</t>
  </si>
  <si>
    <t>23/06 # 00h</t>
  </si>
  <si>
    <t>Jordânia</t>
  </si>
  <si>
    <t>27/06 # 23h</t>
  </si>
  <si>
    <t>COPA DO MUNDO FIFA 2026  ·  GRUPO K</t>
  </si>
  <si>
    <t>17/06 # 14h</t>
  </si>
  <si>
    <t>Portugal</t>
  </si>
  <si>
    <t>17/06 # 23h</t>
  </si>
  <si>
    <t>RD Congo</t>
  </si>
  <si>
    <t>23/06 # 14h</t>
  </si>
  <si>
    <t>Uzbequistão</t>
  </si>
  <si>
    <t>23/06 # 23h</t>
  </si>
  <si>
    <t>Colômbia</t>
  </si>
  <si>
    <t>27/06 # 20h30</t>
  </si>
  <si>
    <t>COPA DO MUNDO FIFA 2026  ·  GRUPO L</t>
  </si>
  <si>
    <t>17/06 # 17h</t>
  </si>
  <si>
    <t>Inglaterra</t>
  </si>
  <si>
    <t>17/06 # 20h</t>
  </si>
  <si>
    <t>Croácia</t>
  </si>
  <si>
    <t>23/06 # 17h</t>
  </si>
  <si>
    <t>Gana</t>
  </si>
  <si>
    <t>23/06 # 20h</t>
  </si>
  <si>
    <t>Panamá</t>
  </si>
  <si>
    <t>27/06 # 18h</t>
  </si>
  <si>
    <t>COPA DO MUNDO 2026  ·  3os COLOCADOS — RANKING GERAL</t>
  </si>
  <si>
    <t>▶  Os 8 melhores 3os colocados avançam para a Rodada de 32</t>
  </si>
  <si>
    <t>Grupo</t>
  </si>
  <si>
    <t>Situação</t>
  </si>
  <si>
    <t>▶  CLASSIFICAÇÃO DOS 3os COLOCADOS  (automático)</t>
  </si>
  <si>
    <t>✅ Classificado</t>
  </si>
  <si>
    <t>❌ Eliminado</t>
  </si>
  <si>
    <t>COPA DO MUNDO FIFA 2026  ·  FASE DE MATA-MATA</t>
  </si>
  <si>
    <t>▶  RODADA DE 32  (28 jun – 3 jul)  │  Se empate: preencher Prorrogação (amarelo) │ Se persistir: Pênaltis (laranja)</t>
  </si>
  <si>
    <t>Jogo</t>
  </si>
  <si>
    <t>Time 1</t>
  </si>
  <si>
    <t>90'</t>
  </si>
  <si>
    <t>Time 2</t>
  </si>
  <si>
    <t>Prorr</t>
  </si>
  <si>
    <t>Pen</t>
  </si>
  <si>
    <t>Classificado</t>
  </si>
  <si>
    <t>R32-1</t>
  </si>
  <si>
    <t>│</t>
  </si>
  <si>
    <t>R32-2</t>
  </si>
  <si>
    <t>R32-3</t>
  </si>
  <si>
    <t>R32-4</t>
  </si>
  <si>
    <t>R32-5</t>
  </si>
  <si>
    <t>R32-6</t>
  </si>
  <si>
    <t>R32-7</t>
  </si>
  <si>
    <t>R32-8</t>
  </si>
  <si>
    <t>R32-9</t>
  </si>
  <si>
    <t>R32-10</t>
  </si>
  <si>
    <t>R32-11</t>
  </si>
  <si>
    <t>R32-12</t>
  </si>
  <si>
    <t>R32-13</t>
  </si>
  <si>
    <t>R32-14</t>
  </si>
  <si>
    <t>R32-15</t>
  </si>
  <si>
    <t>R32-16</t>
  </si>
  <si>
    <t>⬛ Tempo normal: preencher colunas brancas  |  🟡 Empate no 90': preencher Prorrogação  |  🟠 Empate na prorrogação: preencher Pênaltis</t>
  </si>
  <si>
    <t>▶  OITAVAS DE FINAL  (4–7 jul)</t>
  </si>
  <si>
    <t>O1</t>
  </si>
  <si>
    <t>O2</t>
  </si>
  <si>
    <t>O3</t>
  </si>
  <si>
    <t>O4</t>
  </si>
  <si>
    <t>O5</t>
  </si>
  <si>
    <t>O6</t>
  </si>
  <si>
    <t>O7</t>
  </si>
  <si>
    <t>O8</t>
  </si>
  <si>
    <t>▶  QUARTAS DE FINAL  (9–11 jul)</t>
  </si>
  <si>
    <t>Q1</t>
  </si>
  <si>
    <t>Q2</t>
  </si>
  <si>
    <t>Q3</t>
  </si>
  <si>
    <t>Q4</t>
  </si>
  <si>
    <t>▶  SEMIFINAIS  (14–15 jul)</t>
  </si>
  <si>
    <t>SF1</t>
  </si>
  <si>
    <t>SF2</t>
  </si>
  <si>
    <t>▶  DISPUTA DE 3º LUGAR  (18 jul – Miami)  &amp;  FINAL  (19 jul – MetLife Stadium, NY)</t>
  </si>
  <si>
    <t>3º Lugar</t>
  </si>
  <si>
    <t>▶▶  GRANDE FINAL  ◀◀</t>
  </si>
  <si>
    <t>FINAL</t>
  </si>
  <si>
    <t>Data e 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</si>
</sst>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9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  <charset val="1"/>
    </font>
    <font>
      <b/>
      <sz val="11"/>
      <color theme="1"/>
      <name val="Calibri"/>
      <family val="2"/>
      <charset val="1"/>
    </font>
    <font>
      <sz val="11"/>
      <color theme="0"/>
      <name val="Calibri"/>
      <family val="2"/>
      <charset val="1"/>
    </font>
    <font>
      <b/>
      <sz val="11"/>
      <color rgb="FF003580"/>
      <name val="Arial"/>
      <family val="2"/>
      <charset val="1"/>
    </font>
    <font>
      <sz val="10"/>
      <color rgb="FF1A3A5C"/>
      <name val="Arial"/>
      <family val="2"/>
      <charset val="1"/>
    </font>
    <font>
      <b/>
      <sz val="12"/>
      <color theme="10"/>
      <name val="Calibri"/>
      <family val="2"/>
      <charset val="1"/>
    </font>
    <font>
      <u/>
      <sz val="11"/>
      <color theme="10"/>
      <name val="Calibri"/>
      <family val="2"/>
      <charset val="1"/>
    </font>
    <font>
      <sz val="14"/>
      <color theme="10"/>
      <name val="Calibri"/>
      <family val="2"/>
      <charset val="1"/>
    </font>
    <font>
      <b/>
      <sz val="14"/>
      <color theme="10"/>
      <name val="Calibri"/>
      <family val="2"/>
      <charset val="1"/>
    </font>
    <font>
      <b/>
      <sz val="14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9"/>
      <color rgb="FFFFFFFF"/>
      <name val="Arial"/>
      <family val="2"/>
      <charset val="1"/>
    </font>
    <font>
      <sz val="9"/>
      <color rgb="FF595959"/>
      <name val="Arial"/>
      <family val="2"/>
      <charset val="1"/>
    </font>
    <font>
      <b/>
      <sz val="11"/>
      <name val="Arial"/>
      <family val="2"/>
      <charset val="1"/>
    </font>
    <font>
      <b/>
      <sz val="13"/>
      <color rgb="FF003399"/>
      <name val="Arial"/>
      <family val="2"/>
      <charset val="1"/>
    </font>
    <font>
      <sz val="10"/>
      <color rgb="FF595959"/>
      <name val="Arial"/>
      <family val="2"/>
      <charset val="1"/>
    </font>
    <font>
      <b/>
      <sz val="9"/>
      <color rgb="FF333333"/>
      <name val="Calibri"/>
      <family val="2"/>
      <charset val="1"/>
    </font>
    <font>
      <b/>
      <sz val="14"/>
      <color rgb="FFFF0000"/>
      <name val="Calibri"/>
      <family val="2"/>
      <charset val="1"/>
    </font>
    <font>
      <b/>
      <sz val="11"/>
      <color rgb="FF0071E2"/>
      <name val="Calibri"/>
      <family val="2"/>
      <charset val="1"/>
    </font>
    <font>
      <b/>
      <sz val="12"/>
      <color theme="3" tint="-0.499984740745262"/>
      <name val="Arial"/>
      <family val="2"/>
      <charset val="1"/>
    </font>
    <font>
      <sz val="11"/>
      <color rgb="FF1A3A5C"/>
      <name val="Arial"/>
      <family val="2"/>
      <charset val="1"/>
    </font>
    <font>
      <b/>
      <sz val="11"/>
      <color theme="3" tint="-0.499984740745262"/>
      <name val="Arial"/>
      <family val="2"/>
      <charset val="1"/>
    </font>
    <font>
      <i/>
      <sz val="9"/>
      <color rgb="FF595959"/>
      <name val="Arial"/>
      <family val="2"/>
      <charset val="1"/>
    </font>
    <font>
      <b/>
      <sz val="9"/>
      <color theme="1"/>
      <name val="Calibri"/>
      <family val="2"/>
      <charset val="1"/>
    </font>
    <font>
      <b/>
      <sz val="11"/>
      <color rgb="FFFFFFFF"/>
      <name val="Arial"/>
      <family val="2"/>
      <charset val="1"/>
    </font>
    <font>
      <b/>
      <sz val="9"/>
      <color rgb="FF9C0006"/>
      <name val="Arial"/>
      <family val="2"/>
      <charset val="1"/>
    </font>
    <font>
      <b/>
      <sz val="8"/>
      <color rgb="FFFFFFFF"/>
      <name val="Arial"/>
      <family val="2"/>
      <charset val="1"/>
    </font>
    <font>
      <b/>
      <sz val="12"/>
      <color rgb="FF8B6000"/>
      <name val="Arial"/>
      <family val="2"/>
      <charset val="1"/>
    </font>
    <font>
      <sz val="10"/>
      <color rgb="FF8B6000"/>
      <name val="Arial"/>
      <family val="2"/>
      <charset val="1"/>
    </font>
    <font>
      <b/>
      <sz val="12"/>
      <color rgb="FF843C0C"/>
      <name val="Arial"/>
      <family val="2"/>
      <charset val="1"/>
    </font>
    <font>
      <b/>
      <sz val="11"/>
      <color rgb="FF375623"/>
      <name val="Arial"/>
      <family val="2"/>
      <charset val="1"/>
    </font>
    <font>
      <i/>
      <sz val="8"/>
      <color rgb="FF595959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4"/>
      <color rgb="FF8B0000"/>
      <name val="Arial"/>
      <family val="2"/>
      <charset val="1"/>
    </font>
    <font>
      <sz val="8"/>
      <color theme="8" tint="-0.499984740745262"/>
      <name val="Arial"/>
      <family val="2"/>
    </font>
    <font>
      <b/>
      <sz val="8"/>
      <color rgb="FF595959"/>
      <name val="Arial"/>
      <family val="2"/>
    </font>
    <font>
      <b/>
      <sz val="9"/>
      <color rgb="FF002060"/>
      <name val="Arial"/>
      <family val="2"/>
    </font>
    <font>
      <b/>
      <sz val="9"/>
      <color theme="0" tint="-4.9989318521683403E-2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003580"/>
        <bgColor rgb="FF003399"/>
      </patternFill>
    </fill>
    <fill>
      <patternFill patternType="solid">
        <fgColor theme="2"/>
        <bgColor rgb="FFE2EFDA"/>
      </patternFill>
    </fill>
    <fill>
      <patternFill patternType="solid">
        <fgColor rgb="FFE8F0FA"/>
        <bgColor rgb="FFEEF5FB"/>
      </patternFill>
    </fill>
    <fill>
      <patternFill patternType="solid">
        <fgColor rgb="FF2E75B6"/>
        <bgColor rgb="FF0070C0"/>
      </patternFill>
    </fill>
    <fill>
      <patternFill patternType="solid">
        <fgColor rgb="FF1A3A5C"/>
        <bgColor rgb="FF003580"/>
      </patternFill>
    </fill>
    <fill>
      <patternFill patternType="solid">
        <fgColor rgb="FFFFFFFF"/>
        <bgColor rgb="FFFFF9E6"/>
      </patternFill>
    </fill>
    <fill>
      <patternFill patternType="solid">
        <fgColor rgb="FFD6E4F7"/>
        <bgColor rgb="FFE8F0FA"/>
      </patternFill>
    </fill>
    <fill>
      <patternFill patternType="solid">
        <fgColor theme="6" tint="0.59987182226020086"/>
        <bgColor rgb="FFC6EFCE"/>
      </patternFill>
    </fill>
    <fill>
      <patternFill patternType="solid">
        <fgColor rgb="FFEEF5FB"/>
        <bgColor rgb="FFE8F0FA"/>
      </patternFill>
    </fill>
    <fill>
      <patternFill patternType="solid">
        <fgColor rgb="FFC6EFCE"/>
        <bgColor rgb="FFD7E4BD"/>
      </patternFill>
    </fill>
    <fill>
      <patternFill patternType="solid">
        <fgColor rgb="FFFFEB9C"/>
        <bgColor rgb="FFFFF2CC"/>
      </patternFill>
    </fill>
    <fill>
      <patternFill patternType="solid">
        <fgColor rgb="FFFFC7CE"/>
        <bgColor rgb="FFFCE4D6"/>
      </patternFill>
    </fill>
    <fill>
      <patternFill patternType="solid">
        <fgColor rgb="FFFFF2CC"/>
        <bgColor rgb="FFFFF9E6"/>
      </patternFill>
    </fill>
    <fill>
      <patternFill patternType="solid">
        <fgColor rgb="FFFCE4D6"/>
        <bgColor rgb="FFEEECE1"/>
      </patternFill>
    </fill>
    <fill>
      <patternFill patternType="solid">
        <fgColor rgb="FFE2EFDA"/>
        <bgColor rgb="FFEEECE1"/>
      </patternFill>
    </fill>
    <fill>
      <patternFill patternType="solid">
        <fgColor rgb="FF8B0000"/>
        <bgColor rgb="FF9C0006"/>
      </patternFill>
    </fill>
    <fill>
      <patternFill patternType="solid">
        <fgColor rgb="FFFFF9E6"/>
        <bgColor rgb="FFFFFFFF"/>
      </patternFill>
    </fill>
    <fill>
      <patternFill patternType="solid">
        <fgColor rgb="FFFFD700"/>
        <bgColor rgb="FFFFC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9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8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0" applyFont="1"/>
    <xf numFmtId="0" fontId="12" fillId="6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left" vertical="center"/>
    </xf>
    <xf numFmtId="0" fontId="13" fillId="10" borderId="2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right" vertical="center"/>
    </xf>
    <xf numFmtId="0" fontId="5" fillId="10" borderId="2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0" fillId="11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/>
    </xf>
    <xf numFmtId="0" fontId="22" fillId="12" borderId="2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25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25" fillId="13" borderId="2" xfId="0" applyFont="1" applyFill="1" applyBorder="1" applyAlignment="1">
      <alignment horizontal="center" vertical="center"/>
    </xf>
    <xf numFmtId="0" fontId="26" fillId="13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1" fontId="28" fillId="14" borderId="2" xfId="0" applyNumberFormat="1" applyFont="1" applyFill="1" applyBorder="1" applyAlignment="1">
      <alignment horizontal="center" vertical="center"/>
    </xf>
    <xf numFmtId="0" fontId="29" fillId="14" borderId="2" xfId="0" applyFont="1" applyFill="1" applyBorder="1" applyAlignment="1">
      <alignment horizontal="center" vertical="center"/>
    </xf>
    <xf numFmtId="1" fontId="30" fillId="15" borderId="2" xfId="0" applyNumberFormat="1" applyFont="1" applyFill="1" applyBorder="1" applyAlignment="1">
      <alignment horizontal="center" vertical="center"/>
    </xf>
    <xf numFmtId="0" fontId="31" fillId="16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13" fillId="18" borderId="2" xfId="0" applyFont="1" applyFill="1" applyBorder="1" applyAlignment="1">
      <alignment horizontal="center" vertical="center"/>
    </xf>
    <xf numFmtId="0" fontId="14" fillId="18" borderId="2" xfId="0" applyFont="1" applyFill="1" applyBorder="1" applyAlignment="1">
      <alignment horizontal="right" vertical="center"/>
    </xf>
    <xf numFmtId="0" fontId="0" fillId="18" borderId="2" xfId="0" applyFill="1" applyBorder="1" applyAlignment="1">
      <alignment horizontal="center" vertical="center"/>
    </xf>
    <xf numFmtId="1" fontId="15" fillId="18" borderId="2" xfId="0" applyNumberFormat="1" applyFont="1" applyFill="1" applyBorder="1" applyAlignment="1">
      <alignment horizontal="center" vertical="center"/>
    </xf>
    <xf numFmtId="0" fontId="16" fillId="18" borderId="2" xfId="0" applyFont="1" applyFill="1" applyBorder="1" applyAlignment="1">
      <alignment horizontal="center" vertical="center"/>
    </xf>
    <xf numFmtId="0" fontId="14" fillId="18" borderId="2" xfId="0" applyFont="1" applyFill="1" applyBorder="1" applyAlignment="1">
      <alignment horizontal="left" vertical="center"/>
    </xf>
    <xf numFmtId="1" fontId="28" fillId="18" borderId="2" xfId="0" applyNumberFormat="1" applyFont="1" applyFill="1" applyBorder="1" applyAlignment="1">
      <alignment horizontal="center" vertical="center"/>
    </xf>
    <xf numFmtId="0" fontId="29" fillId="18" borderId="2" xfId="0" applyFont="1" applyFill="1" applyBorder="1" applyAlignment="1">
      <alignment horizontal="center" vertical="center"/>
    </xf>
    <xf numFmtId="1" fontId="30" fillId="18" borderId="2" xfId="0" applyNumberFormat="1" applyFont="1" applyFill="1" applyBorder="1" applyAlignment="1">
      <alignment horizontal="center" vertical="center"/>
    </xf>
    <xf numFmtId="0" fontId="34" fillId="19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25" fillId="5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0" fillId="20" borderId="0" xfId="0" applyFill="1"/>
    <xf numFmtId="0" fontId="0" fillId="21" borderId="0" xfId="0" applyFill="1"/>
    <xf numFmtId="0" fontId="37" fillId="18" borderId="2" xfId="0" applyFont="1" applyFill="1" applyBorder="1" applyAlignment="1">
      <alignment horizontal="center" vertical="center"/>
    </xf>
    <xf numFmtId="0" fontId="38" fillId="20" borderId="0" xfId="0" applyFont="1" applyFill="1" applyAlignment="1">
      <alignment vertical="center"/>
    </xf>
    <xf numFmtId="0" fontId="38" fillId="20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5" xfId="0" applyBorder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10" fillId="2" borderId="0" xfId="0" applyFont="1" applyFill="1" applyAlignment="1">
      <alignment horizontal="center" vertical="center"/>
    </xf>
    <xf numFmtId="0" fontId="35" fillId="7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35" fillId="10" borderId="2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23" fillId="0" borderId="0" xfId="0" applyFont="1" applyAlignment="1">
      <alignment horizontal="left"/>
    </xf>
    <xf numFmtId="0" fontId="19" fillId="3" borderId="0" xfId="1" applyFont="1" applyFill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24" fillId="9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0" fontId="33" fillId="17" borderId="0" xfId="0" applyFont="1" applyFill="1" applyAlignment="1">
      <alignment horizontal="left" vertical="center"/>
    </xf>
    <xf numFmtId="0" fontId="32" fillId="0" borderId="0" xfId="0" applyFont="1"/>
  </cellXfs>
  <cellStyles count="2">
    <cellStyle name="Hi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375623"/>
      <rgbColor rgb="FF002060"/>
      <rgbColor rgb="FF8B6000"/>
      <rgbColor rgb="FFC00000"/>
      <rgbColor rgb="FF0071E2"/>
      <rgbColor rgb="FFBBBBBB"/>
      <rgbColor rgb="FF808080"/>
      <rgbColor rgb="FFE2EFDA"/>
      <rgbColor rgb="FF953735"/>
      <rgbColor rgb="FFFFF9E6"/>
      <rgbColor rgb="FFE8F0FA"/>
      <rgbColor rgb="FF660066"/>
      <rgbColor rgb="FFFF8080"/>
      <rgbColor rgb="FF0070C0"/>
      <rgbColor rgb="FFB9CDE5"/>
      <rgbColor rgb="FF003399"/>
      <rgbColor rgb="FFFF00FF"/>
      <rgbColor rgb="FFFFF2CC"/>
      <rgbColor rgb="FF00FFFF"/>
      <rgbColor rgb="FF800080"/>
      <rgbColor rgb="FF9C0006"/>
      <rgbColor rgb="FF008080"/>
      <rgbColor rgb="FF0000FF"/>
      <rgbColor rgb="FF00B0F0"/>
      <rgbColor rgb="FFEEF5FB"/>
      <rgbColor rgb="FFC6EFCE"/>
      <rgbColor rgb="FFFFEB9C"/>
      <rgbColor rgb="FFD6E4F7"/>
      <rgbColor rgb="FFFCE4D6"/>
      <rgbColor rgb="FFD7E4BD"/>
      <rgbColor rgb="FFFFC7CE"/>
      <rgbColor rgb="FF2E75B6"/>
      <rgbColor rgb="FF33CCCC"/>
      <rgbColor rgb="FF92D050"/>
      <rgbColor rgb="FFFFD700"/>
      <rgbColor rgb="FFFFC000"/>
      <rgbColor rgb="FFE46C0A"/>
      <rgbColor rgb="FF595959"/>
      <rgbColor rgb="FFEEECE1"/>
      <rgbColor rgb="FF003580"/>
      <rgbColor rgb="FF00B050"/>
      <rgbColor rgb="FF10243E"/>
      <rgbColor rgb="FF1E1C11"/>
      <rgbColor rgb="FF843C0C"/>
      <rgbColor rgb="FF7030A0"/>
      <rgbColor rgb="FF1A3A5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iadecompra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tudoexcel.com.br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tudoexcel.com.br/blog/tabela-da-copa-2026-no-excel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769680</xdr:colOff>
      <xdr:row>1</xdr:row>
      <xdr:rowOff>99000</xdr:rowOff>
    </xdr:from>
    <xdr:to>
      <xdr:col>3</xdr:col>
      <xdr:colOff>2197800</xdr:colOff>
      <xdr:row>3</xdr:row>
      <xdr:rowOff>100080</xdr:rowOff>
    </xdr:to>
    <xdr:pic>
      <xdr:nvPicPr>
        <xdr:cNvPr id="2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0240" y="603720"/>
          <a:ext cx="1428120" cy="27756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792360</xdr:colOff>
      <xdr:row>5</xdr:row>
      <xdr:rowOff>221040</xdr:rowOff>
    </xdr:from>
    <xdr:to>
      <xdr:col>3</xdr:col>
      <xdr:colOff>2212920</xdr:colOff>
      <xdr:row>7</xdr:row>
      <xdr:rowOff>60480</xdr:rowOff>
    </xdr:to>
    <xdr:pic>
      <xdr:nvPicPr>
        <xdr:cNvPr id="3" name="Imagem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72920" y="1459440"/>
          <a:ext cx="1420560" cy="29664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685800</xdr:colOff>
      <xdr:row>16</xdr:row>
      <xdr:rowOff>7560</xdr:rowOff>
    </xdr:from>
    <xdr:to>
      <xdr:col>3</xdr:col>
      <xdr:colOff>2460600</xdr:colOff>
      <xdr:row>17</xdr:row>
      <xdr:rowOff>189720</xdr:rowOff>
    </xdr:to>
    <xdr:pic>
      <xdr:nvPicPr>
        <xdr:cNvPr id="4" name="Imagem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66360" y="3493800"/>
          <a:ext cx="1774800" cy="27720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guiadecompra.com/" TargetMode="External"/><Relationship Id="rId1" Type="http://schemas.openxmlformats.org/officeDocument/2006/relationships/hyperlink" Target="https://www.guiadecompra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showGridLines="0" tabSelected="1" zoomScaleNormal="100" workbookViewId="0">
      <selection activeCell="F7" sqref="F7"/>
    </sheetView>
  </sheetViews>
  <sheetFormatPr defaultColWidth="8.6640625" defaultRowHeight="14.4" x14ac:dyDescent="0.3"/>
  <cols>
    <col min="1" max="1" width="2" customWidth="1"/>
    <col min="2" max="2" width="91.21875" customWidth="1"/>
    <col min="4" max="4" width="42.77734375" customWidth="1"/>
  </cols>
  <sheetData>
    <row r="1" spans="1:4" ht="39.75" customHeight="1" x14ac:dyDescent="0.3">
      <c r="A1" s="65" t="s">
        <v>45</v>
      </c>
      <c r="B1" s="66"/>
      <c r="D1" s="1" t="s">
        <v>46</v>
      </c>
    </row>
    <row r="2" spans="1:4" x14ac:dyDescent="0.3">
      <c r="D2" s="2" t="s">
        <v>35</v>
      </c>
    </row>
    <row r="3" spans="1:4" ht="7.5" customHeight="1" x14ac:dyDescent="0.3"/>
    <row r="4" spans="1:4" ht="18" customHeight="1" x14ac:dyDescent="0.3">
      <c r="B4" s="3" t="s">
        <v>47</v>
      </c>
    </row>
    <row r="5" spans="1:4" ht="18" customHeight="1" x14ac:dyDescent="0.3">
      <c r="B5" s="4" t="s">
        <v>48</v>
      </c>
    </row>
    <row r="6" spans="1:4" ht="18" customHeight="1" x14ac:dyDescent="0.3">
      <c r="B6" s="4" t="s">
        <v>49</v>
      </c>
      <c r="D6" s="5" t="s">
        <v>50</v>
      </c>
    </row>
    <row r="7" spans="1:4" ht="18" customHeight="1" x14ac:dyDescent="0.3">
      <c r="B7" s="4" t="s">
        <v>51</v>
      </c>
      <c r="D7" s="6" t="s">
        <v>52</v>
      </c>
    </row>
    <row r="8" spans="1:4" ht="18" customHeight="1" x14ac:dyDescent="0.3">
      <c r="B8" s="4" t="s">
        <v>53</v>
      </c>
      <c r="D8" t="s">
        <v>54</v>
      </c>
    </row>
    <row r="9" spans="1:4" ht="7.5" customHeight="1" x14ac:dyDescent="0.3"/>
    <row r="10" spans="1:4" ht="18" customHeight="1" x14ac:dyDescent="0.3">
      <c r="B10" s="3" t="s">
        <v>55</v>
      </c>
      <c r="D10" s="63" t="s">
        <v>56</v>
      </c>
    </row>
    <row r="11" spans="1:4" ht="18" customHeight="1" x14ac:dyDescent="0.3">
      <c r="B11" s="4" t="s">
        <v>57</v>
      </c>
      <c r="D11" s="64"/>
    </row>
    <row r="12" spans="1:4" ht="7.5" customHeight="1" x14ac:dyDescent="0.3"/>
    <row r="13" spans="1:4" ht="18" customHeight="1" x14ac:dyDescent="0.3">
      <c r="B13" s="3" t="s">
        <v>58</v>
      </c>
      <c r="D13" s="7" t="s">
        <v>52</v>
      </c>
    </row>
    <row r="14" spans="1:4" ht="18" customHeight="1" x14ac:dyDescent="0.3">
      <c r="B14" s="4" t="s">
        <v>59</v>
      </c>
    </row>
    <row r="15" spans="1:4" ht="18" customHeight="1" x14ac:dyDescent="0.3">
      <c r="B15" s="4" t="s">
        <v>60</v>
      </c>
    </row>
    <row r="16" spans="1:4" ht="18" customHeight="1" x14ac:dyDescent="0.3">
      <c r="B16" s="4" t="s">
        <v>61</v>
      </c>
    </row>
    <row r="17" spans="2:4" ht="7.5" customHeight="1" x14ac:dyDescent="0.3"/>
    <row r="18" spans="2:4" ht="18" customHeight="1" x14ac:dyDescent="0.3">
      <c r="B18" s="3" t="s">
        <v>62</v>
      </c>
      <c r="D18" s="8"/>
    </row>
    <row r="19" spans="2:4" ht="18" customHeight="1" x14ac:dyDescent="0.3">
      <c r="B19" s="4" t="s">
        <v>63</v>
      </c>
    </row>
    <row r="20" spans="2:4" ht="18" customHeight="1" x14ac:dyDescent="0.3">
      <c r="B20" s="4" t="s">
        <v>64</v>
      </c>
    </row>
    <row r="21" spans="2:4" ht="18" customHeight="1" x14ac:dyDescent="0.3">
      <c r="B21" s="4" t="s">
        <v>65</v>
      </c>
    </row>
    <row r="22" spans="2:4" ht="18" customHeight="1" x14ac:dyDescent="0.3">
      <c r="B22" s="4" t="s">
        <v>66</v>
      </c>
    </row>
    <row r="23" spans="2:4" ht="18" customHeight="1" x14ac:dyDescent="0.3">
      <c r="B23" s="4" t="s">
        <v>67</v>
      </c>
    </row>
    <row r="24" spans="2:4" ht="18" customHeight="1" x14ac:dyDescent="0.3">
      <c r="B24" s="4" t="s">
        <v>68</v>
      </c>
    </row>
    <row r="25" spans="2:4" ht="18" customHeight="1" x14ac:dyDescent="0.3">
      <c r="B25" s="4" t="s">
        <v>69</v>
      </c>
    </row>
    <row r="26" spans="2:4" ht="7.5" customHeight="1" x14ac:dyDescent="0.3"/>
    <row r="27" spans="2:4" ht="18" customHeight="1" x14ac:dyDescent="0.3">
      <c r="B27" s="3" t="s">
        <v>70</v>
      </c>
    </row>
    <row r="28" spans="2:4" ht="18" customHeight="1" x14ac:dyDescent="0.3">
      <c r="B28" s="4" t="s">
        <v>71</v>
      </c>
    </row>
    <row r="29" spans="2:4" ht="18" customHeight="1" x14ac:dyDescent="0.3">
      <c r="B29" s="4" t="s">
        <v>72</v>
      </c>
    </row>
    <row r="30" spans="2:4" ht="18" customHeight="1" x14ac:dyDescent="0.3">
      <c r="B30" s="4" t="s">
        <v>73</v>
      </c>
    </row>
  </sheetData>
  <sheetProtection algorithmName="SHA-512" hashValue="5zmo+0j/Ncp4FeLBTjkJqbEVI0j0vQTzqc+BxhG/+mvslvNq5W9cQrD8HE+RLtu37MQZxxq4aEqM9mSOFTmYog==" saltValue="q/vi8WZue/61UXlhL3O2BA==" spinCount="100000" sheet="1" objects="1" scenarios="1"/>
  <mergeCells count="2">
    <mergeCell ref="D10:D11"/>
    <mergeCell ref="A1:B1"/>
  </mergeCells>
  <hyperlinks>
    <hyperlink ref="D13" r:id="rId1" xr:uid="{00000000-0004-0000-0000-000001000000}"/>
    <hyperlink ref="D7" r:id="rId2" xr:uid="{00000000-0004-0000-0000-000000000000}"/>
  </hyperlinks>
  <pageMargins left="0.75" right="0.75" top="1" bottom="1" header="0.511811023622047" footer="0.511811023622047"/>
  <pageSetup paperSize="9" orientation="portrait" horizontalDpi="300" verticalDpi="30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O20"/>
  <sheetViews>
    <sheetView showGridLines="0" zoomScaleNormal="100" workbookViewId="0">
      <selection activeCell="AR7" sqref="AR7"/>
    </sheetView>
  </sheetViews>
  <sheetFormatPr defaultColWidth="8.6640625" defaultRowHeight="14.4" x14ac:dyDescent="0.3"/>
  <cols>
    <col min="1" max="1" width="12" customWidth="1"/>
    <col min="2" max="2" width="22" customWidth="1"/>
    <col min="3" max="3" width="3" customWidth="1"/>
    <col min="4" max="4" width="6" customWidth="1"/>
    <col min="5" max="5" width="3" customWidth="1"/>
    <col min="6" max="6" width="6" customWidth="1"/>
    <col min="7" max="7" width="3" customWidth="1"/>
    <col min="8" max="8" width="22" customWidth="1"/>
    <col min="9" max="12" width="4" customWidth="1"/>
    <col min="13" max="16" width="5" customWidth="1"/>
    <col min="17" max="27" width="12" style="9" hidden="1" customWidth="1"/>
    <col min="28" max="28" width="8.21875" style="9" hidden="1" customWidth="1"/>
    <col min="29" max="31" width="8.6640625" style="9" hidden="1" customWidth="1"/>
    <col min="32" max="41" width="8.6640625" hidden="1" customWidth="1"/>
  </cols>
  <sheetData>
    <row r="1" spans="1:27" ht="31.5" customHeight="1" x14ac:dyDescent="0.3">
      <c r="A1" s="67" t="s">
        <v>160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7" ht="6" customHeight="1" x14ac:dyDescent="0.3"/>
    <row r="3" spans="1:27" ht="19.5" customHeight="1" x14ac:dyDescent="0.3">
      <c r="A3" s="72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7" ht="18" customHeight="1" x14ac:dyDescent="0.3">
      <c r="A4" s="10" t="s">
        <v>2</v>
      </c>
      <c r="B4" s="10" t="s">
        <v>3</v>
      </c>
      <c r="D4" s="10" t="s">
        <v>4</v>
      </c>
      <c r="F4" s="10" t="s">
        <v>5</v>
      </c>
      <c r="H4" s="10" t="s">
        <v>6</v>
      </c>
      <c r="I4" s="75" t="s">
        <v>7</v>
      </c>
      <c r="J4" s="69"/>
      <c r="K4" s="70"/>
    </row>
    <row r="5" spans="1:27" ht="21.75" customHeight="1" x14ac:dyDescent="0.3">
      <c r="A5" s="11" t="s">
        <v>161</v>
      </c>
      <c r="B5" s="12" t="str">
        <f>Q5</f>
        <v>França</v>
      </c>
      <c r="C5" s="13"/>
      <c r="D5" s="14">
        <v>3</v>
      </c>
      <c r="E5" s="15" t="s">
        <v>9</v>
      </c>
      <c r="F5" s="14">
        <v>1</v>
      </c>
      <c r="G5" s="13"/>
      <c r="H5" s="16" t="str">
        <f>Q6</f>
        <v>Senegal</v>
      </c>
      <c r="I5" s="68" t="s">
        <v>91</v>
      </c>
      <c r="J5" s="69"/>
      <c r="K5" s="70"/>
      <c r="M5" s="76" t="s">
        <v>10</v>
      </c>
      <c r="N5" s="77"/>
      <c r="O5" s="77"/>
      <c r="P5" s="78"/>
      <c r="Q5" s="9" t="s">
        <v>162</v>
      </c>
    </row>
    <row r="6" spans="1:27" ht="21.75" customHeight="1" x14ac:dyDescent="0.3">
      <c r="A6" s="17" t="s">
        <v>163</v>
      </c>
      <c r="B6" s="18" t="str">
        <f>Q7</f>
        <v>Iraque</v>
      </c>
      <c r="C6" s="19"/>
      <c r="D6" s="14">
        <v>1</v>
      </c>
      <c r="E6" s="20" t="s">
        <v>9</v>
      </c>
      <c r="F6" s="14">
        <v>4</v>
      </c>
      <c r="G6" s="19"/>
      <c r="H6" s="21" t="str">
        <f>Q8</f>
        <v>Noruega</v>
      </c>
      <c r="I6" s="71" t="s">
        <v>94</v>
      </c>
      <c r="J6" s="69"/>
      <c r="K6" s="70"/>
      <c r="M6" s="23" t="s">
        <v>13</v>
      </c>
      <c r="N6" s="23" t="s">
        <v>14</v>
      </c>
      <c r="O6" s="23" t="s">
        <v>15</v>
      </c>
      <c r="P6" s="23" t="s">
        <v>16</v>
      </c>
      <c r="Q6" s="9" t="s">
        <v>164</v>
      </c>
    </row>
    <row r="7" spans="1:27" ht="21.75" customHeight="1" x14ac:dyDescent="0.3">
      <c r="A7" s="11" t="s">
        <v>165</v>
      </c>
      <c r="B7" s="12" t="str">
        <f>Q5</f>
        <v>França</v>
      </c>
      <c r="C7" s="13"/>
      <c r="D7" s="14"/>
      <c r="E7" s="15" t="s">
        <v>9</v>
      </c>
      <c r="F7" s="14"/>
      <c r="G7" s="13"/>
      <c r="H7" s="16" t="str">
        <f>Q7</f>
        <v>Iraque</v>
      </c>
      <c r="I7" s="68" t="s">
        <v>99</v>
      </c>
      <c r="J7" s="69"/>
      <c r="K7" s="70"/>
      <c r="M7" s="23" t="s">
        <v>20</v>
      </c>
      <c r="N7" s="23" t="s">
        <v>21</v>
      </c>
      <c r="O7" s="23" t="s">
        <v>22</v>
      </c>
      <c r="P7" s="23" t="s">
        <v>23</v>
      </c>
      <c r="Q7" s="9" t="s">
        <v>166</v>
      </c>
    </row>
    <row r="8" spans="1:27" ht="21.75" customHeight="1" x14ac:dyDescent="0.3">
      <c r="A8" s="17" t="s">
        <v>167</v>
      </c>
      <c r="B8" s="18" t="str">
        <f>Q8</f>
        <v>Noruega</v>
      </c>
      <c r="C8" s="19"/>
      <c r="D8" s="14"/>
      <c r="E8" s="20" t="s">
        <v>9</v>
      </c>
      <c r="F8" s="14"/>
      <c r="G8" s="19"/>
      <c r="H8" s="21" t="str">
        <f>Q6</f>
        <v>Senegal</v>
      </c>
      <c r="I8" s="71" t="s">
        <v>91</v>
      </c>
      <c r="J8" s="69"/>
      <c r="K8" s="70"/>
      <c r="M8" s="32" t="s">
        <v>27</v>
      </c>
      <c r="N8" s="23" t="s">
        <v>28</v>
      </c>
      <c r="O8" s="23" t="s">
        <v>29</v>
      </c>
      <c r="P8" s="23" t="s">
        <v>30</v>
      </c>
      <c r="Q8" s="9" t="s">
        <v>168</v>
      </c>
    </row>
    <row r="9" spans="1:27" ht="21.75" customHeight="1" x14ac:dyDescent="0.3">
      <c r="A9" s="11" t="s">
        <v>169</v>
      </c>
      <c r="B9" s="12" t="str">
        <f>Q8</f>
        <v>Noruega</v>
      </c>
      <c r="C9" s="13"/>
      <c r="D9" s="14"/>
      <c r="E9" s="15" t="s">
        <v>9</v>
      </c>
      <c r="F9" s="14"/>
      <c r="G9" s="13"/>
      <c r="H9" s="16" t="str">
        <f>Q5</f>
        <v>França</v>
      </c>
      <c r="I9" s="68" t="s">
        <v>94</v>
      </c>
      <c r="J9" s="69"/>
      <c r="K9" s="70"/>
    </row>
    <row r="10" spans="1:27" ht="21.75" customHeight="1" x14ac:dyDescent="0.3">
      <c r="A10" s="17" t="s">
        <v>169</v>
      </c>
      <c r="B10" s="18" t="str">
        <f>Q6</f>
        <v>Senegal</v>
      </c>
      <c r="C10" s="19"/>
      <c r="D10" s="14"/>
      <c r="E10" s="20" t="s">
        <v>9</v>
      </c>
      <c r="F10" s="14"/>
      <c r="G10" s="19"/>
      <c r="H10" s="21" t="str">
        <f>Q7</f>
        <v>Iraque</v>
      </c>
      <c r="I10" s="71" t="s">
        <v>122</v>
      </c>
      <c r="J10" s="69"/>
      <c r="K10" s="70"/>
      <c r="M10" s="74" t="s">
        <v>35</v>
      </c>
      <c r="N10" s="66"/>
      <c r="O10" s="66"/>
      <c r="P10" s="66"/>
    </row>
    <row r="11" spans="1:27" ht="7.5" customHeight="1" x14ac:dyDescent="0.3"/>
    <row r="12" spans="1:27" ht="19.5" customHeight="1" x14ac:dyDescent="0.3">
      <c r="A12" s="72" t="s">
        <v>36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27" ht="18" customHeight="1" x14ac:dyDescent="0.3">
      <c r="A13" s="10" t="s">
        <v>37</v>
      </c>
      <c r="B13" s="10" t="s">
        <v>38</v>
      </c>
      <c r="C13" s="10"/>
      <c r="D13" s="10"/>
      <c r="E13" s="10"/>
      <c r="F13" s="10"/>
      <c r="G13" s="10"/>
      <c r="H13" s="10"/>
      <c r="I13" s="10" t="s">
        <v>28</v>
      </c>
      <c r="J13" s="10" t="s">
        <v>39</v>
      </c>
      <c r="K13" s="10" t="s">
        <v>20</v>
      </c>
      <c r="L13" s="10" t="s">
        <v>16</v>
      </c>
      <c r="M13" s="10" t="s">
        <v>40</v>
      </c>
      <c r="N13" s="10" t="s">
        <v>41</v>
      </c>
      <c r="O13" s="10" t="s">
        <v>42</v>
      </c>
      <c r="P13" s="10" t="s">
        <v>43</v>
      </c>
    </row>
    <row r="14" spans="1:27" ht="21.75" customHeight="1" x14ac:dyDescent="0.3">
      <c r="A14" s="24">
        <v>1</v>
      </c>
      <c r="B14" s="16" t="str">
        <f>INDEX(Q$14:Q$17,MATCH(1,AA$14:AA$17,0))</f>
        <v>Noruega</v>
      </c>
      <c r="C14" s="25"/>
      <c r="D14" s="25"/>
      <c r="E14" s="25"/>
      <c r="F14" s="25"/>
      <c r="G14" s="25"/>
      <c r="H14" s="25"/>
      <c r="I14" s="26">
        <f>INDEX(R$14:R$17,MATCH(1,AA$14:AA$17,0))</f>
        <v>1</v>
      </c>
      <c r="J14" s="26">
        <f>INDEX(S$14:S$17,MATCH(1,AA$14:AA$17,0))</f>
        <v>1</v>
      </c>
      <c r="K14" s="26">
        <f>INDEX(T$14:T$17,MATCH(1,AA$14:AA$17,0))</f>
        <v>0</v>
      </c>
      <c r="L14" s="26">
        <f>INDEX(U$14:U$17,MATCH(1,AA$14:AA$17,0))</f>
        <v>0</v>
      </c>
      <c r="M14" s="26">
        <f>INDEX(V$14:V$17,MATCH(1,AA$14:AA$17,0))</f>
        <v>4</v>
      </c>
      <c r="N14" s="26">
        <f>INDEX(W$14:W$17,MATCH(1,AA$14:AA$17,0))</f>
        <v>1</v>
      </c>
      <c r="O14" s="26">
        <f>INDEX(X$14:X$17,MATCH(1,AA$14:AA$17,0))</f>
        <v>3</v>
      </c>
      <c r="P14" s="27">
        <f>INDEX(Y$14:Y$17,MATCH(1,AA$14:AA$17,0))</f>
        <v>3</v>
      </c>
      <c r="Q14" s="9" t="str">
        <f>Q5</f>
        <v>França</v>
      </c>
      <c r="R14" s="9">
        <f>((D5&lt;&gt;"")*( F5&lt;&gt;""))+((D7&lt;&gt;"")*( F7&lt;&gt;""))+((D9&lt;&gt;"")*( F9&lt;&gt;""))</f>
        <v>1</v>
      </c>
      <c r="S14" s="9">
        <f>IF(AND(D5&lt;&gt;"",F5&lt;&gt;""),IF(D5&gt;F5,1,0),0)+IF(AND(D7&lt;&gt;"",F7&lt;&gt;""),IF(D7&gt;F7,1,0),0)+IF(AND(D9&lt;&gt;"",F9&lt;&gt;""),IF(F9&gt;D9,1,0),0)</f>
        <v>1</v>
      </c>
      <c r="T14" s="9">
        <f>IF(AND(D5&lt;&gt;"",F5&lt;&gt;""),IF(D5=F5,1,0),0)+IF(AND(D7&lt;&gt;"",F7&lt;&gt;""),IF(D7=F7,1,0),0)+IF(AND(D9&lt;&gt;"",F9&lt;&gt;""),IF(D9=F9,1,0),0)</f>
        <v>0</v>
      </c>
      <c r="U14" s="9">
        <f>IF(AND(D5&lt;&gt;"",F5&lt;&gt;""),IF(D5&lt;F5,1,0),0)+IF(AND(D7&lt;&gt;"",F7&lt;&gt;""),IF(D7&lt;F7,1,0),0)+IF(AND(D9&lt;&gt;"",F9&lt;&gt;""),IF(F9&lt;D9,1,0),0)</f>
        <v>0</v>
      </c>
      <c r="V14" s="9">
        <f>IF(D5="",0,D5)+IF(D7="",0,D7)+IF(F9="",0,F9)</f>
        <v>3</v>
      </c>
      <c r="W14" s="9">
        <f>IF(F5="",0,F5)+IF(F7="",0,F7)+IF(D9="",0,D9)</f>
        <v>1</v>
      </c>
      <c r="X14" s="9">
        <f>V14-W14</f>
        <v>2</v>
      </c>
      <c r="Y14" s="9">
        <f>S14*3+T14</f>
        <v>3</v>
      </c>
      <c r="Z14" s="9">
        <f>Y14*1000000+(X14+100)*10000+V14*100+4</f>
        <v>4020304</v>
      </c>
      <c r="AA14" s="9">
        <f>RANK(Z14,Z$14:Z$17,0)</f>
        <v>2</v>
      </c>
    </row>
    <row r="15" spans="1:27" ht="21.75" customHeight="1" x14ac:dyDescent="0.3">
      <c r="A15" s="24">
        <v>2</v>
      </c>
      <c r="B15" s="16" t="str">
        <f>INDEX(Q$14:Q$17,MATCH(2,AA$14:AA$17,0))</f>
        <v>França</v>
      </c>
      <c r="C15" s="25"/>
      <c r="D15" s="25"/>
      <c r="E15" s="25"/>
      <c r="F15" s="25"/>
      <c r="G15" s="25"/>
      <c r="H15" s="25"/>
      <c r="I15" s="26">
        <f>INDEX(R$14:R$17,MATCH(2,AA$14:AA$17,0))</f>
        <v>1</v>
      </c>
      <c r="J15" s="26">
        <f>INDEX(S$14:S$17,MATCH(2,AA$14:AA$17,0))</f>
        <v>1</v>
      </c>
      <c r="K15" s="26">
        <f>INDEX(T$14:T$17,MATCH(2,AA$14:AA$17,0))</f>
        <v>0</v>
      </c>
      <c r="L15" s="26">
        <f>INDEX(U$14:U$17,MATCH(2,AA$14:AA$17,0))</f>
        <v>0</v>
      </c>
      <c r="M15" s="26">
        <f>INDEX(V$14:V$17,MATCH(2,AA$14:AA$17,0))</f>
        <v>3</v>
      </c>
      <c r="N15" s="26">
        <f>INDEX(W$14:W$17,MATCH(2,AA$14:AA$17,0))</f>
        <v>1</v>
      </c>
      <c r="O15" s="26">
        <f>INDEX(X$14:X$17,MATCH(2,AA$14:AA$17,0))</f>
        <v>2</v>
      </c>
      <c r="P15" s="27">
        <f>INDEX(Y$14:Y$17,MATCH(2,AA$14:AA$17,0))</f>
        <v>3</v>
      </c>
      <c r="Q15" s="9" t="str">
        <f>Q6</f>
        <v>Senegal</v>
      </c>
      <c r="R15" s="9">
        <f>((D5&lt;&gt;"")*( F5&lt;&gt;""))+((D8&lt;&gt;"")*( F8&lt;&gt;""))+((D10&lt;&gt;"")*( F10&lt;&gt;""))</f>
        <v>1</v>
      </c>
      <c r="S15" s="9">
        <f>IF(AND(D5&lt;&gt;"",F5&lt;&gt;""),IF(F5&gt;D5,1,0),0)+IF(AND(D8&lt;&gt;"",F8&lt;&gt;""),IF(F8&gt;D8,1,0),0)+IF(AND(D10&lt;&gt;"",F10&lt;&gt;""),IF(D10&gt;F10,1,0),0)</f>
        <v>0</v>
      </c>
      <c r="T15" s="9">
        <f>IF(AND(D5&lt;&gt;"",F5&lt;&gt;""),IF(D5=F5,1,0),0)+IF(AND(D8&lt;&gt;"",F8&lt;&gt;""),IF(D8=F8,1,0),0)+IF(AND(D10&lt;&gt;"",F10&lt;&gt;""),IF(D10=F10,1,0),0)</f>
        <v>0</v>
      </c>
      <c r="U15" s="9">
        <f>IF(AND(D5&lt;&gt;"",F5&lt;&gt;""),IF(F5&lt;D5,1,0),0)+IF(AND(D8&lt;&gt;"",F8&lt;&gt;""),IF(F8&lt;D8,1,0),0)+IF(AND(D10&lt;&gt;"",F10&lt;&gt;""),IF(D10&lt;F10,1,0),0)</f>
        <v>1</v>
      </c>
      <c r="V15" s="9">
        <f>IF(F5="",0,F5)+IF(F8="",0,F8)+IF(D10="",0,D10)</f>
        <v>1</v>
      </c>
      <c r="W15" s="9">
        <f>IF(D5="",0,D5)+IF(D8="",0,D8)+IF(F10="",0,F10)</f>
        <v>3</v>
      </c>
      <c r="X15" s="9">
        <f>V15-W15</f>
        <v>-2</v>
      </c>
      <c r="Y15" s="9">
        <f>S15*3+T15</f>
        <v>0</v>
      </c>
      <c r="Z15" s="9">
        <f>Y15*1000000+(X15+100)*10000+V15*100+3</f>
        <v>980103</v>
      </c>
      <c r="AA15" s="9">
        <f>RANK(Z15,Z$14:Z$17,0)</f>
        <v>3</v>
      </c>
    </row>
    <row r="16" spans="1:27" ht="21.75" customHeight="1" x14ac:dyDescent="0.3">
      <c r="A16" s="28">
        <v>3</v>
      </c>
      <c r="B16" s="16" t="str">
        <f>INDEX(Q$14:Q$17,MATCH(3,AA$14:AA$17,0))</f>
        <v>Senegal</v>
      </c>
      <c r="C16" s="25"/>
      <c r="D16" s="25"/>
      <c r="E16" s="25"/>
      <c r="F16" s="25"/>
      <c r="G16" s="25"/>
      <c r="H16" s="25"/>
      <c r="I16" s="26">
        <f>INDEX(R$14:R$17,MATCH(3,AA$14:AA$17,0))</f>
        <v>1</v>
      </c>
      <c r="J16" s="26">
        <f>INDEX(S$14:S$17,MATCH(3,AA$14:AA$17,0))</f>
        <v>0</v>
      </c>
      <c r="K16" s="26">
        <f>INDEX(T$14:T$17,MATCH(3,AA$14:AA$17,0))</f>
        <v>0</v>
      </c>
      <c r="L16" s="26">
        <f>INDEX(U$14:U$17,MATCH(3,AA$14:AA$17,0))</f>
        <v>1</v>
      </c>
      <c r="M16" s="26">
        <f>INDEX(V$14:V$17,MATCH(3,AA$14:AA$17,0))</f>
        <v>1</v>
      </c>
      <c r="N16" s="26">
        <f>INDEX(W$14:W$17,MATCH(3,AA$14:AA$17,0))</f>
        <v>3</v>
      </c>
      <c r="O16" s="26">
        <f>INDEX(X$14:X$17,MATCH(3,AA$14:AA$17,0))</f>
        <v>-2</v>
      </c>
      <c r="P16" s="29">
        <f>INDEX(Y$14:Y$17,MATCH(3,AA$14:AA$17,0))</f>
        <v>0</v>
      </c>
      <c r="Q16" s="9" t="str">
        <f>Q7</f>
        <v>Iraque</v>
      </c>
      <c r="R16" s="9">
        <f>((D6&lt;&gt;"")*( F6&lt;&gt;""))+((D7&lt;&gt;"")*( F7&lt;&gt;""))+((D10&lt;&gt;"")*( F10&lt;&gt;""))</f>
        <v>1</v>
      </c>
      <c r="S16" s="9">
        <f>IF(AND(D6&lt;&gt;"",F6&lt;&gt;""),IF(D6&gt;F6,1,0),0)+IF(AND(D7&lt;&gt;"",F7&lt;&gt;""),IF(F7&gt;D7,1,0),0)+IF(AND(D10&lt;&gt;"",F10&lt;&gt;""),IF(F10&gt;D10,1,0),0)</f>
        <v>0</v>
      </c>
      <c r="T16" s="9">
        <f>IF(AND(D6&lt;&gt;"",F6&lt;&gt;""),IF(D6=F6,1,0),0)+IF(AND(D7&lt;&gt;"",F7&lt;&gt;""),IF(D7=F7,1,0),0)+IF(AND(D10&lt;&gt;"",F10&lt;&gt;""),IF(D10=F10,1,0),0)</f>
        <v>0</v>
      </c>
      <c r="U16" s="9">
        <f>IF(AND(D6&lt;&gt;"",F6&lt;&gt;""),IF(D6&lt;F6,1,0),0)+IF(AND(D7&lt;&gt;"",F7&lt;&gt;""),IF(F7&lt;D7,1,0),0)+IF(AND(D10&lt;&gt;"",F10&lt;&gt;""),IF(F10&lt;D10,1,0),0)</f>
        <v>1</v>
      </c>
      <c r="V16" s="9">
        <f>IF(D6="",0,D6)+IF(F7="",0,F7)+IF(F10="",0,F10)</f>
        <v>1</v>
      </c>
      <c r="W16" s="9">
        <f>IF(F6="",0,F6)+IF(D7="",0,D7)+IF(D10="",0,D10)</f>
        <v>4</v>
      </c>
      <c r="X16" s="9">
        <f>V16-W16</f>
        <v>-3</v>
      </c>
      <c r="Y16" s="9">
        <f>S16*3+T16</f>
        <v>0</v>
      </c>
      <c r="Z16" s="9">
        <f>Y16*1000000+(X16+100)*10000+V16*100+2</f>
        <v>970102</v>
      </c>
      <c r="AA16" s="9">
        <f>RANK(Z16,Z$14:Z$17,0)</f>
        <v>4</v>
      </c>
    </row>
    <row r="17" spans="1:27" ht="21.75" customHeight="1" x14ac:dyDescent="0.3">
      <c r="A17" s="30">
        <v>4</v>
      </c>
      <c r="B17" s="16" t="str">
        <f>INDEX(Q$14:Q$17,MATCH(4,AA$14:AA$17,0))</f>
        <v>Iraque</v>
      </c>
      <c r="C17" s="25"/>
      <c r="D17" s="25"/>
      <c r="E17" s="25"/>
      <c r="F17" s="25"/>
      <c r="G17" s="25"/>
      <c r="H17" s="25"/>
      <c r="I17" s="26">
        <f>INDEX(R$14:R$17,MATCH(4,AA$14:AA$17,0))</f>
        <v>1</v>
      </c>
      <c r="J17" s="26">
        <f>INDEX(S$14:S$17,MATCH(4,AA$14:AA$17,0))</f>
        <v>0</v>
      </c>
      <c r="K17" s="26">
        <f>INDEX(T$14:T$17,MATCH(4,AA$14:AA$17,0))</f>
        <v>0</v>
      </c>
      <c r="L17" s="26">
        <f>INDEX(U$14:U$17,MATCH(4,AA$14:AA$17,0))</f>
        <v>1</v>
      </c>
      <c r="M17" s="26">
        <f>INDEX(V$14:V$17,MATCH(4,AA$14:AA$17,0))</f>
        <v>1</v>
      </c>
      <c r="N17" s="26">
        <f>INDEX(W$14:W$17,MATCH(4,AA$14:AA$17,0))</f>
        <v>4</v>
      </c>
      <c r="O17" s="26">
        <f>INDEX(X$14:X$17,MATCH(4,AA$14:AA$17,0))</f>
        <v>-3</v>
      </c>
      <c r="P17" s="31">
        <f>INDEX(Y$14:Y$17,MATCH(4,AA$14:AA$17,0))</f>
        <v>0</v>
      </c>
      <c r="Q17" s="9" t="str">
        <f>Q8</f>
        <v>Noruega</v>
      </c>
      <c r="R17" s="9">
        <f>((D6&lt;&gt;"")*( F6&lt;&gt;""))+((D8&lt;&gt;"")*( F8&lt;&gt;""))+((D9&lt;&gt;"")*( F9&lt;&gt;""))</f>
        <v>1</v>
      </c>
      <c r="S17" s="9">
        <f>IF(AND(D6&lt;&gt;"",F6&lt;&gt;""),IF(F6&gt;D6,1,0),0)+IF(AND(D8&lt;&gt;"",F8&lt;&gt;""),IF(D8&gt;F8,1,0),0)+IF(AND(D9&lt;&gt;"",F9&lt;&gt;""),IF(D9&gt;F9,1,0),0)</f>
        <v>1</v>
      </c>
      <c r="T17" s="9">
        <f>IF(AND(D6&lt;&gt;"",F6&lt;&gt;""),IF(D6=F6,1,0),0)+IF(AND(D8&lt;&gt;"",F8&lt;&gt;""),IF(D8=F8,1,0),0)+IF(AND(D9&lt;&gt;"",F9&lt;&gt;""),IF(D9=F9,1,0),0)</f>
        <v>0</v>
      </c>
      <c r="U17" s="9">
        <f>IF(AND(D6&lt;&gt;"",F6&lt;&gt;""),IF(F6&lt;D6,1,0),0)+IF(AND(D8&lt;&gt;"",F8&lt;&gt;""),IF(D8&lt;F8,1,0),0)+IF(AND(D9&lt;&gt;"",F9&lt;&gt;""),IF(D9&lt;F9,1,0),0)</f>
        <v>0</v>
      </c>
      <c r="V17" s="9">
        <f>IF(F6="",0,F6)+IF(D8="",0,D8)+IF(D9="",0,D9)</f>
        <v>4</v>
      </c>
      <c r="W17" s="9">
        <f>IF(D6="",0,D6)+IF(F8="",0,F8)+IF(F9="",0,F9)</f>
        <v>1</v>
      </c>
      <c r="X17" s="9">
        <f>V17-W17</f>
        <v>3</v>
      </c>
      <c r="Y17" s="9">
        <f>S17*3+T17</f>
        <v>3</v>
      </c>
      <c r="Z17" s="9">
        <f>Y17*1000000+(X17+100)*10000+V17*100+1</f>
        <v>4030401</v>
      </c>
      <c r="AA17" s="9">
        <f>RANK(Z17,Z$14:Z$17,0)</f>
        <v>1</v>
      </c>
    </row>
    <row r="19" spans="1:27" ht="7.5" customHeight="1" x14ac:dyDescent="0.3"/>
    <row r="20" spans="1:27" ht="15.75" customHeight="1" x14ac:dyDescent="0.3">
      <c r="A20" s="73" t="s">
        <v>44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</sheetData>
  <mergeCells count="13">
    <mergeCell ref="A20:P20"/>
    <mergeCell ref="M10:P10"/>
    <mergeCell ref="I4:K4"/>
    <mergeCell ref="I7:K7"/>
    <mergeCell ref="I6:K6"/>
    <mergeCell ref="M5:P5"/>
    <mergeCell ref="I10:K10"/>
    <mergeCell ref="A1:P1"/>
    <mergeCell ref="I5:K5"/>
    <mergeCell ref="I9:K9"/>
    <mergeCell ref="I8:K8"/>
    <mergeCell ref="A12:P12"/>
    <mergeCell ref="A3:P3"/>
  </mergeCells>
  <hyperlinks>
    <hyperlink ref="M6" location="'Gr-A'!A1" display="A" xr:uid="{00000000-0004-0000-0900-000000000000}"/>
    <hyperlink ref="N6" location="'Gr-B'!A1" display="B" xr:uid="{00000000-0004-0000-0900-000001000000}"/>
    <hyperlink ref="O6" location="'Gr-C'!A1" display="C" xr:uid="{00000000-0004-0000-0900-000002000000}"/>
    <hyperlink ref="P6" location="'Gr-D'!A1" display="D" xr:uid="{00000000-0004-0000-0900-000003000000}"/>
    <hyperlink ref="M7" location="'Gr-E'!A1" display="E" xr:uid="{00000000-0004-0000-0900-000004000000}"/>
    <hyperlink ref="N7" location="'Gr-F'!A1" display="F" xr:uid="{00000000-0004-0000-0900-000005000000}"/>
    <hyperlink ref="O7" location="'Gr-G'!A1" display="G" xr:uid="{00000000-0004-0000-0900-000006000000}"/>
    <hyperlink ref="P7" location="'Gr-H'!A1" display="H" xr:uid="{00000000-0004-0000-0900-000007000000}"/>
    <hyperlink ref="N8" location="'Gr-J'!A1" display="J" xr:uid="{00000000-0004-0000-0900-000008000000}"/>
    <hyperlink ref="O8" location="'Gr-K'!A1" display="K" xr:uid="{00000000-0004-0000-0900-000009000000}"/>
    <hyperlink ref="P8" location="'Gr-L'!A1" display="L" xr:uid="{00000000-0004-0000-0900-00000A000000}"/>
    <hyperlink ref="M10" r:id="rId1" xr:uid="{00000000-0004-0000-0900-00000B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O20"/>
  <sheetViews>
    <sheetView showGridLines="0" zoomScaleNormal="100" workbookViewId="0">
      <selection activeCell="AU6" sqref="AU6"/>
    </sheetView>
  </sheetViews>
  <sheetFormatPr defaultColWidth="8.6640625" defaultRowHeight="14.4" x14ac:dyDescent="0.3"/>
  <cols>
    <col min="1" max="1" width="12" customWidth="1"/>
    <col min="2" max="2" width="22" customWidth="1"/>
    <col min="3" max="3" width="3" customWidth="1"/>
    <col min="4" max="4" width="6" customWidth="1"/>
    <col min="5" max="5" width="3" customWidth="1"/>
    <col min="6" max="6" width="6" customWidth="1"/>
    <col min="7" max="7" width="3" customWidth="1"/>
    <col min="8" max="8" width="22" customWidth="1"/>
    <col min="9" max="12" width="4" customWidth="1"/>
    <col min="13" max="16" width="5" customWidth="1"/>
    <col min="17" max="27" width="12" style="9" hidden="1" customWidth="1"/>
    <col min="28" max="28" width="8.21875" style="9" hidden="1" customWidth="1"/>
    <col min="29" max="31" width="8.6640625" style="9" hidden="1" customWidth="1"/>
    <col min="32" max="41" width="8.6640625" hidden="1" customWidth="1"/>
  </cols>
  <sheetData>
    <row r="1" spans="1:27" ht="31.5" customHeight="1" x14ac:dyDescent="0.3">
      <c r="A1" s="67" t="s">
        <v>170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7" ht="6" customHeight="1" x14ac:dyDescent="0.3"/>
    <row r="3" spans="1:27" ht="19.5" customHeight="1" x14ac:dyDescent="0.3">
      <c r="A3" s="72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7" ht="18" customHeight="1" x14ac:dyDescent="0.3">
      <c r="A4" s="10" t="s">
        <v>2</v>
      </c>
      <c r="B4" s="10" t="s">
        <v>3</v>
      </c>
      <c r="D4" s="10" t="s">
        <v>4</v>
      </c>
      <c r="F4" s="10" t="s">
        <v>5</v>
      </c>
      <c r="H4" s="10" t="s">
        <v>6</v>
      </c>
      <c r="I4" s="75" t="s">
        <v>7</v>
      </c>
      <c r="J4" s="69"/>
      <c r="K4" s="70"/>
    </row>
    <row r="5" spans="1:27" ht="21.75" customHeight="1" x14ac:dyDescent="0.3">
      <c r="A5" s="11" t="s">
        <v>171</v>
      </c>
      <c r="B5" s="12" t="str">
        <f>Q5</f>
        <v>Argentina</v>
      </c>
      <c r="C5" s="13"/>
      <c r="D5" s="14">
        <v>3</v>
      </c>
      <c r="E5" s="15" t="s">
        <v>9</v>
      </c>
      <c r="F5" s="14">
        <v>0</v>
      </c>
      <c r="G5" s="13"/>
      <c r="H5" s="16" t="str">
        <f>Q6</f>
        <v>Argélia</v>
      </c>
      <c r="I5" s="68" t="s">
        <v>125</v>
      </c>
      <c r="J5" s="69"/>
      <c r="K5" s="70"/>
      <c r="M5" s="76" t="s">
        <v>10</v>
      </c>
      <c r="N5" s="77"/>
      <c r="O5" s="77"/>
      <c r="P5" s="78"/>
      <c r="Q5" s="9" t="s">
        <v>172</v>
      </c>
    </row>
    <row r="6" spans="1:27" ht="21.75" customHeight="1" x14ac:dyDescent="0.3">
      <c r="A6" s="17" t="s">
        <v>173</v>
      </c>
      <c r="B6" s="18" t="str">
        <f>Q7</f>
        <v>Áustria</v>
      </c>
      <c r="C6" s="19"/>
      <c r="D6" s="14">
        <v>3</v>
      </c>
      <c r="E6" s="20" t="s">
        <v>9</v>
      </c>
      <c r="F6" s="14">
        <v>1</v>
      </c>
      <c r="G6" s="19"/>
      <c r="H6" s="21" t="str">
        <f>Q8</f>
        <v>Jordânia</v>
      </c>
      <c r="I6" s="71" t="s">
        <v>79</v>
      </c>
      <c r="J6" s="69"/>
      <c r="K6" s="70"/>
      <c r="M6" s="23" t="s">
        <v>13</v>
      </c>
      <c r="N6" s="23" t="s">
        <v>14</v>
      </c>
      <c r="O6" s="23" t="s">
        <v>15</v>
      </c>
      <c r="P6" s="23" t="s">
        <v>16</v>
      </c>
      <c r="Q6" s="9" t="s">
        <v>174</v>
      </c>
    </row>
    <row r="7" spans="1:27" ht="21.75" customHeight="1" x14ac:dyDescent="0.3">
      <c r="A7" s="11" t="s">
        <v>175</v>
      </c>
      <c r="B7" s="12" t="str">
        <f>Q5</f>
        <v>Argentina</v>
      </c>
      <c r="C7" s="13"/>
      <c r="D7" s="14"/>
      <c r="E7" s="15" t="s">
        <v>9</v>
      </c>
      <c r="F7" s="14"/>
      <c r="G7" s="13"/>
      <c r="H7" s="16" t="str">
        <f>Q7</f>
        <v>Áustria</v>
      </c>
      <c r="I7" s="68" t="s">
        <v>130</v>
      </c>
      <c r="J7" s="69"/>
      <c r="K7" s="70"/>
      <c r="M7" s="23" t="s">
        <v>20</v>
      </c>
      <c r="N7" s="23" t="s">
        <v>21</v>
      </c>
      <c r="O7" s="23" t="s">
        <v>22</v>
      </c>
      <c r="P7" s="23" t="s">
        <v>23</v>
      </c>
      <c r="Q7" s="9" t="s">
        <v>176</v>
      </c>
    </row>
    <row r="8" spans="1:27" ht="21.75" customHeight="1" x14ac:dyDescent="0.3">
      <c r="A8" s="17" t="s">
        <v>177</v>
      </c>
      <c r="B8" s="18" t="str">
        <f>Q8</f>
        <v>Jordânia</v>
      </c>
      <c r="C8" s="19"/>
      <c r="D8" s="14"/>
      <c r="E8" s="20" t="s">
        <v>9</v>
      </c>
      <c r="F8" s="14"/>
      <c r="G8" s="19"/>
      <c r="H8" s="21" t="str">
        <f>Q6</f>
        <v>Argélia</v>
      </c>
      <c r="I8" s="71" t="s">
        <v>112</v>
      </c>
      <c r="J8" s="69"/>
      <c r="K8" s="70"/>
      <c r="M8" s="23" t="s">
        <v>27</v>
      </c>
      <c r="N8" s="32" t="s">
        <v>28</v>
      </c>
      <c r="O8" s="23" t="s">
        <v>29</v>
      </c>
      <c r="P8" s="23" t="s">
        <v>30</v>
      </c>
      <c r="Q8" s="9" t="s">
        <v>178</v>
      </c>
    </row>
    <row r="9" spans="1:27" ht="21.75" customHeight="1" x14ac:dyDescent="0.3">
      <c r="A9" s="11" t="s">
        <v>179</v>
      </c>
      <c r="B9" s="12" t="str">
        <f>Q6</f>
        <v>Argélia</v>
      </c>
      <c r="C9" s="13"/>
      <c r="D9" s="14"/>
      <c r="E9" s="15" t="s">
        <v>9</v>
      </c>
      <c r="F9" s="14"/>
      <c r="G9" s="13"/>
      <c r="H9" s="16" t="str">
        <f>Q7</f>
        <v>Áustria</v>
      </c>
      <c r="I9" s="68" t="s">
        <v>125</v>
      </c>
      <c r="J9" s="69"/>
      <c r="K9" s="70"/>
    </row>
    <row r="10" spans="1:27" ht="21.75" customHeight="1" x14ac:dyDescent="0.3">
      <c r="A10" s="17" t="s">
        <v>179</v>
      </c>
      <c r="B10" s="18" t="str">
        <f>Q8</f>
        <v>Jordânia</v>
      </c>
      <c r="C10" s="19"/>
      <c r="D10" s="14"/>
      <c r="E10" s="20" t="s">
        <v>9</v>
      </c>
      <c r="F10" s="14"/>
      <c r="G10" s="19"/>
      <c r="H10" s="21" t="str">
        <f>Q5</f>
        <v>Argentina</v>
      </c>
      <c r="I10" s="71" t="s">
        <v>130</v>
      </c>
      <c r="J10" s="69"/>
      <c r="K10" s="70"/>
      <c r="M10" s="74" t="s">
        <v>35</v>
      </c>
      <c r="N10" s="66"/>
      <c r="O10" s="66"/>
      <c r="P10" s="66"/>
    </row>
    <row r="11" spans="1:27" ht="7.5" customHeight="1" x14ac:dyDescent="0.3"/>
    <row r="12" spans="1:27" ht="19.5" customHeight="1" x14ac:dyDescent="0.3">
      <c r="A12" s="72" t="s">
        <v>36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27" ht="18" customHeight="1" x14ac:dyDescent="0.3">
      <c r="A13" s="10" t="s">
        <v>37</v>
      </c>
      <c r="B13" s="10" t="s">
        <v>38</v>
      </c>
      <c r="C13" s="10"/>
      <c r="D13" s="10"/>
      <c r="E13" s="10"/>
      <c r="F13" s="10"/>
      <c r="G13" s="10"/>
      <c r="H13" s="10"/>
      <c r="I13" s="10" t="s">
        <v>28</v>
      </c>
      <c r="J13" s="10" t="s">
        <v>39</v>
      </c>
      <c r="K13" s="10" t="s">
        <v>20</v>
      </c>
      <c r="L13" s="10" t="s">
        <v>16</v>
      </c>
      <c r="M13" s="10" t="s">
        <v>40</v>
      </c>
      <c r="N13" s="10" t="s">
        <v>41</v>
      </c>
      <c r="O13" s="10" t="s">
        <v>42</v>
      </c>
      <c r="P13" s="10" t="s">
        <v>43</v>
      </c>
    </row>
    <row r="14" spans="1:27" ht="21.75" customHeight="1" x14ac:dyDescent="0.3">
      <c r="A14" s="24">
        <v>1</v>
      </c>
      <c r="B14" s="16" t="str">
        <f>INDEX(Q$14:Q$17,MATCH(1,AA$14:AA$17,0))</f>
        <v>Argentina</v>
      </c>
      <c r="C14" s="25"/>
      <c r="D14" s="25"/>
      <c r="E14" s="25"/>
      <c r="F14" s="25"/>
      <c r="G14" s="25"/>
      <c r="H14" s="25"/>
      <c r="I14" s="26">
        <f>INDEX(R$14:R$17,MATCH(1,AA$14:AA$17,0))</f>
        <v>1</v>
      </c>
      <c r="J14" s="26">
        <f>INDEX(S$14:S$17,MATCH(1,AA$14:AA$17,0))</f>
        <v>1</v>
      </c>
      <c r="K14" s="26">
        <f>INDEX(T$14:T$17,MATCH(1,AA$14:AA$17,0))</f>
        <v>0</v>
      </c>
      <c r="L14" s="26">
        <f>INDEX(U$14:U$17,MATCH(1,AA$14:AA$17,0))</f>
        <v>0</v>
      </c>
      <c r="M14" s="26">
        <f>INDEX(V$14:V$17,MATCH(1,AA$14:AA$17,0))</f>
        <v>3</v>
      </c>
      <c r="N14" s="26">
        <f>INDEX(W$14:W$17,MATCH(1,AA$14:AA$17,0))</f>
        <v>0</v>
      </c>
      <c r="O14" s="26">
        <f>INDEX(X$14:X$17,MATCH(1,AA$14:AA$17,0))</f>
        <v>3</v>
      </c>
      <c r="P14" s="27">
        <f>INDEX(Y$14:Y$17,MATCH(1,AA$14:AA$17,0))</f>
        <v>3</v>
      </c>
      <c r="Q14" s="9" t="str">
        <f>Q5</f>
        <v>Argentina</v>
      </c>
      <c r="R14" s="9">
        <f>((D5&lt;&gt;"")*( F5&lt;&gt;""))+((D7&lt;&gt;"")*( F7&lt;&gt;""))+((D10&lt;&gt;"")*( F10&lt;&gt;""))</f>
        <v>1</v>
      </c>
      <c r="S14" s="9">
        <f>IF(AND(D5&lt;&gt;"",F5&lt;&gt;""),IF(D5&gt;F5,1,0),0)+IF(AND(D7&lt;&gt;"",F7&lt;&gt;""),IF(D7&gt;F7,1,0),0)+IF(AND(D10&lt;&gt;"",F10&lt;&gt;""),IF(F10&gt;D10,1,0),0)</f>
        <v>1</v>
      </c>
      <c r="T14" s="9">
        <f>IF(AND(D5&lt;&gt;"",F5&lt;&gt;""),IF(D5=F5,1,0),0)+IF(AND(D7&lt;&gt;"",F7&lt;&gt;""),IF(D7=F7,1,0),0)+IF(AND(D10&lt;&gt;"",F10&lt;&gt;""),IF(D10=F10,1,0),0)</f>
        <v>0</v>
      </c>
      <c r="U14" s="9">
        <f>IF(AND(D5&lt;&gt;"",F5&lt;&gt;""),IF(D5&lt;F5,1,0),0)+IF(AND(D7&lt;&gt;"",F7&lt;&gt;""),IF(D7&lt;F7,1,0),0)+IF(AND(D10&lt;&gt;"",F10&lt;&gt;""),IF(F10&lt;D10,1,0),0)</f>
        <v>0</v>
      </c>
      <c r="V14" s="9">
        <f>IF(D5="",0,D5)+IF(D7="",0,D7)+IF(F10="",0,F10)</f>
        <v>3</v>
      </c>
      <c r="W14" s="9">
        <f>IF(F5="",0,F5)+IF(F7="",0,F7)+IF(D10="",0,D10)</f>
        <v>0</v>
      </c>
      <c r="X14" s="9">
        <f>V14-W14</f>
        <v>3</v>
      </c>
      <c r="Y14" s="9">
        <f>S14*3+T14</f>
        <v>3</v>
      </c>
      <c r="Z14" s="9">
        <f>Y14*1000000+(X14+100)*10000+V14*100+4</f>
        <v>4030304</v>
      </c>
      <c r="AA14" s="9">
        <f>RANK(Z14,Z$14:Z$17,0)</f>
        <v>1</v>
      </c>
    </row>
    <row r="15" spans="1:27" ht="21.75" customHeight="1" x14ac:dyDescent="0.3">
      <c r="A15" s="24">
        <v>2</v>
      </c>
      <c r="B15" s="16" t="str">
        <f>INDEX(Q$14:Q$17,MATCH(2,AA$14:AA$17,0))</f>
        <v>Áustria</v>
      </c>
      <c r="C15" s="25"/>
      <c r="D15" s="25"/>
      <c r="E15" s="25"/>
      <c r="F15" s="25"/>
      <c r="G15" s="25"/>
      <c r="H15" s="25"/>
      <c r="I15" s="26">
        <f>INDEX(R$14:R$17,MATCH(2,AA$14:AA$17,0))</f>
        <v>1</v>
      </c>
      <c r="J15" s="26">
        <f>INDEX(S$14:S$17,MATCH(2,AA$14:AA$17,0))</f>
        <v>1</v>
      </c>
      <c r="K15" s="26">
        <f>INDEX(T$14:T$17,MATCH(2,AA$14:AA$17,0))</f>
        <v>0</v>
      </c>
      <c r="L15" s="26">
        <f>INDEX(U$14:U$17,MATCH(2,AA$14:AA$17,0))</f>
        <v>0</v>
      </c>
      <c r="M15" s="26">
        <f>INDEX(V$14:V$17,MATCH(2,AA$14:AA$17,0))</f>
        <v>3</v>
      </c>
      <c r="N15" s="26">
        <f>INDEX(W$14:W$17,MATCH(2,AA$14:AA$17,0))</f>
        <v>1</v>
      </c>
      <c r="O15" s="26">
        <f>INDEX(X$14:X$17,MATCH(2,AA$14:AA$17,0))</f>
        <v>2</v>
      </c>
      <c r="P15" s="27">
        <f>INDEX(Y$14:Y$17,MATCH(2,AA$14:AA$17,0))</f>
        <v>3</v>
      </c>
      <c r="Q15" s="9" t="str">
        <f>Q6</f>
        <v>Argélia</v>
      </c>
      <c r="R15" s="9">
        <f>((D5&lt;&gt;"")*( F5&lt;&gt;""))+((D8&lt;&gt;"")*( F8&lt;&gt;""))+((D9&lt;&gt;"")*( F9&lt;&gt;""))</f>
        <v>1</v>
      </c>
      <c r="S15" s="9">
        <f>IF(AND(D5&lt;&gt;"",F5&lt;&gt;""),IF(F5&gt;D5,1,0),0)+IF(AND(D8&lt;&gt;"",F8&lt;&gt;""),IF(F8&gt;D8,1,0),0)+IF(AND(D9&lt;&gt;"",F9&lt;&gt;""),IF(D9&gt;F9,1,0),0)</f>
        <v>0</v>
      </c>
      <c r="T15" s="9">
        <f>IF(AND(D5&lt;&gt;"",F5&lt;&gt;""),IF(D5=F5,1,0),0)+IF(AND(D8&lt;&gt;"",F8&lt;&gt;""),IF(D8=F8,1,0),0)+IF(AND(D9&lt;&gt;"",F9&lt;&gt;""),IF(D9=F9,1,0),0)</f>
        <v>0</v>
      </c>
      <c r="U15" s="9">
        <f>IF(AND(D5&lt;&gt;"",F5&lt;&gt;""),IF(F5&lt;D5,1,0),0)+IF(AND(D8&lt;&gt;"",F8&lt;&gt;""),IF(F8&lt;D8,1,0),0)+IF(AND(D9&lt;&gt;"",F9&lt;&gt;""),IF(D9&lt;F9,1,0),0)</f>
        <v>1</v>
      </c>
      <c r="V15" s="9">
        <f>IF(F5="",0,F5)+IF(F8="",0,F8)+IF(D9="",0,D9)</f>
        <v>0</v>
      </c>
      <c r="W15" s="9">
        <f>IF(D5="",0,D5)+IF(D8="",0,D8)+IF(F9="",0,F9)</f>
        <v>3</v>
      </c>
      <c r="X15" s="9">
        <f>V15-W15</f>
        <v>-3</v>
      </c>
      <c r="Y15" s="9">
        <f>S15*3+T15</f>
        <v>0</v>
      </c>
      <c r="Z15" s="9">
        <f>Y15*1000000+(X15+100)*10000+V15*100+3</f>
        <v>970003</v>
      </c>
      <c r="AA15" s="9">
        <f>RANK(Z15,Z$14:Z$17,0)</f>
        <v>4</v>
      </c>
    </row>
    <row r="16" spans="1:27" ht="21.75" customHeight="1" x14ac:dyDescent="0.3">
      <c r="A16" s="28">
        <v>3</v>
      </c>
      <c r="B16" s="16" t="str">
        <f>INDEX(Q$14:Q$17,MATCH(3,AA$14:AA$17,0))</f>
        <v>Jordânia</v>
      </c>
      <c r="C16" s="25"/>
      <c r="D16" s="25"/>
      <c r="E16" s="25"/>
      <c r="F16" s="25"/>
      <c r="G16" s="25"/>
      <c r="H16" s="25"/>
      <c r="I16" s="26">
        <f>INDEX(R$14:R$17,MATCH(3,AA$14:AA$17,0))</f>
        <v>1</v>
      </c>
      <c r="J16" s="26">
        <f>INDEX(S$14:S$17,MATCH(3,AA$14:AA$17,0))</f>
        <v>0</v>
      </c>
      <c r="K16" s="26">
        <f>INDEX(T$14:T$17,MATCH(3,AA$14:AA$17,0))</f>
        <v>0</v>
      </c>
      <c r="L16" s="26">
        <f>INDEX(U$14:U$17,MATCH(3,AA$14:AA$17,0))</f>
        <v>1</v>
      </c>
      <c r="M16" s="26">
        <f>INDEX(V$14:V$17,MATCH(3,AA$14:AA$17,0))</f>
        <v>1</v>
      </c>
      <c r="N16" s="26">
        <f>INDEX(W$14:W$17,MATCH(3,AA$14:AA$17,0))</f>
        <v>3</v>
      </c>
      <c r="O16" s="26">
        <f>INDEX(X$14:X$17,MATCH(3,AA$14:AA$17,0))</f>
        <v>-2</v>
      </c>
      <c r="P16" s="29">
        <f>INDEX(Y$14:Y$17,MATCH(3,AA$14:AA$17,0))</f>
        <v>0</v>
      </c>
      <c r="Q16" s="9" t="str">
        <f>Q7</f>
        <v>Áustria</v>
      </c>
      <c r="R16" s="9">
        <f>((D6&lt;&gt;"")*( F6&lt;&gt;""))+((D7&lt;&gt;"")*( F7&lt;&gt;""))+((D9&lt;&gt;"")*( F9&lt;&gt;""))</f>
        <v>1</v>
      </c>
      <c r="S16" s="9">
        <f>IF(AND(D6&lt;&gt;"",F6&lt;&gt;""),IF(D6&gt;F6,1,0),0)+IF(AND(D7&lt;&gt;"",F7&lt;&gt;""),IF(F7&gt;D7,1,0),0)+IF(AND(D9&lt;&gt;"",F9&lt;&gt;""),IF(F9&gt;D9,1,0),0)</f>
        <v>1</v>
      </c>
      <c r="T16" s="9">
        <f>IF(AND(D6&lt;&gt;"",F6&lt;&gt;""),IF(D6=F6,1,0),0)+IF(AND(D7&lt;&gt;"",F7&lt;&gt;""),IF(D7=F7,1,0),0)+IF(AND(D9&lt;&gt;"",F9&lt;&gt;""),IF(D9=F9,1,0),0)</f>
        <v>0</v>
      </c>
      <c r="U16" s="9">
        <f>IF(AND(D6&lt;&gt;"",F6&lt;&gt;""),IF(D6&lt;F6,1,0),0)+IF(AND(D7&lt;&gt;"",F7&lt;&gt;""),IF(F7&lt;D7,1,0),0)+IF(AND(D9&lt;&gt;"",F9&lt;&gt;""),IF(F9&lt;D9,1,0),0)</f>
        <v>0</v>
      </c>
      <c r="V16" s="9">
        <f>IF(D6="",0,D6)+IF(F7="",0,F7)+IF(F9="",0,F9)</f>
        <v>3</v>
      </c>
      <c r="W16" s="9">
        <f>IF(F6="",0,F6)+IF(D7="",0,D7)+IF(D9="",0,D9)</f>
        <v>1</v>
      </c>
      <c r="X16" s="9">
        <f>V16-W16</f>
        <v>2</v>
      </c>
      <c r="Y16" s="9">
        <f>S16*3+T16</f>
        <v>3</v>
      </c>
      <c r="Z16" s="9">
        <f>Y16*1000000+(X16+100)*10000+V16*100+2</f>
        <v>4020302</v>
      </c>
      <c r="AA16" s="9">
        <f>RANK(Z16,Z$14:Z$17,0)</f>
        <v>2</v>
      </c>
    </row>
    <row r="17" spans="1:27" ht="21.75" customHeight="1" x14ac:dyDescent="0.3">
      <c r="A17" s="30">
        <v>4</v>
      </c>
      <c r="B17" s="16" t="str">
        <f>INDEX(Q$14:Q$17,MATCH(4,AA$14:AA$17,0))</f>
        <v>Argélia</v>
      </c>
      <c r="C17" s="25"/>
      <c r="D17" s="25"/>
      <c r="E17" s="25"/>
      <c r="F17" s="25"/>
      <c r="G17" s="25"/>
      <c r="H17" s="25"/>
      <c r="I17" s="26">
        <f>INDEX(R$14:R$17,MATCH(4,AA$14:AA$17,0))</f>
        <v>1</v>
      </c>
      <c r="J17" s="26">
        <f>INDEX(S$14:S$17,MATCH(4,AA$14:AA$17,0))</f>
        <v>0</v>
      </c>
      <c r="K17" s="26">
        <f>INDEX(T$14:T$17,MATCH(4,AA$14:AA$17,0))</f>
        <v>0</v>
      </c>
      <c r="L17" s="26">
        <f>INDEX(U$14:U$17,MATCH(4,AA$14:AA$17,0))</f>
        <v>1</v>
      </c>
      <c r="M17" s="26">
        <f>INDEX(V$14:V$17,MATCH(4,AA$14:AA$17,0))</f>
        <v>0</v>
      </c>
      <c r="N17" s="26">
        <f>INDEX(W$14:W$17,MATCH(4,AA$14:AA$17,0))</f>
        <v>3</v>
      </c>
      <c r="O17" s="26">
        <f>INDEX(X$14:X$17,MATCH(4,AA$14:AA$17,0))</f>
        <v>-3</v>
      </c>
      <c r="P17" s="31">
        <f>INDEX(Y$14:Y$17,MATCH(4,AA$14:AA$17,0))</f>
        <v>0</v>
      </c>
      <c r="Q17" s="9" t="str">
        <f>Q8</f>
        <v>Jordânia</v>
      </c>
      <c r="R17" s="9">
        <f>((D6&lt;&gt;"")*( F6&lt;&gt;""))+((D8&lt;&gt;"")*( F8&lt;&gt;""))+((D10&lt;&gt;"")*( F10&lt;&gt;""))</f>
        <v>1</v>
      </c>
      <c r="S17" s="9">
        <f>IF(AND(D6&lt;&gt;"",F6&lt;&gt;""),IF(F6&gt;D6,1,0),0)+IF(AND(D8&lt;&gt;"",F8&lt;&gt;""),IF(D8&gt;F8,1,0),0)+IF(AND(D10&lt;&gt;"",F10&lt;&gt;""),IF(D10&gt;F10,1,0),0)</f>
        <v>0</v>
      </c>
      <c r="T17" s="9">
        <f>IF(AND(D6&lt;&gt;"",F6&lt;&gt;""),IF(D6=F6,1,0),0)+IF(AND(D8&lt;&gt;"",F8&lt;&gt;""),IF(D8=F8,1,0),0)+IF(AND(D10&lt;&gt;"",F10&lt;&gt;""),IF(D10=F10,1,0),0)</f>
        <v>0</v>
      </c>
      <c r="U17" s="9">
        <f>IF(AND(D6&lt;&gt;"",F6&lt;&gt;""),IF(F6&lt;D6,1,0),0)+IF(AND(D8&lt;&gt;"",F8&lt;&gt;""),IF(D8&lt;F8,1,0),0)+IF(AND(D10&lt;&gt;"",F10&lt;&gt;""),IF(D10&lt;F10,1,0),0)</f>
        <v>1</v>
      </c>
      <c r="V17" s="9">
        <f>IF(F6="",0,F6)+IF(D8="",0,D8)+IF(D10="",0,D10)</f>
        <v>1</v>
      </c>
      <c r="W17" s="9">
        <f>IF(D6="",0,D6)+IF(F8="",0,F8)+IF(F10="",0,F10)</f>
        <v>3</v>
      </c>
      <c r="X17" s="9">
        <f>V17-W17</f>
        <v>-2</v>
      </c>
      <c r="Y17" s="9">
        <f>S17*3+T17</f>
        <v>0</v>
      </c>
      <c r="Z17" s="9">
        <f>Y17*1000000+(X17+100)*10000+V17*100+1</f>
        <v>980101</v>
      </c>
      <c r="AA17" s="9">
        <f>RANK(Z17,Z$14:Z$17,0)</f>
        <v>3</v>
      </c>
    </row>
    <row r="19" spans="1:27" ht="7.5" customHeight="1" x14ac:dyDescent="0.3"/>
    <row r="20" spans="1:27" ht="15.75" customHeight="1" x14ac:dyDescent="0.3">
      <c r="A20" s="73" t="s">
        <v>44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</sheetData>
  <mergeCells count="13">
    <mergeCell ref="A20:P20"/>
    <mergeCell ref="M10:P10"/>
    <mergeCell ref="I4:K4"/>
    <mergeCell ref="I7:K7"/>
    <mergeCell ref="I6:K6"/>
    <mergeCell ref="M5:P5"/>
    <mergeCell ref="I10:K10"/>
    <mergeCell ref="A1:P1"/>
    <mergeCell ref="I5:K5"/>
    <mergeCell ref="I9:K9"/>
    <mergeCell ref="I8:K8"/>
    <mergeCell ref="A12:P12"/>
    <mergeCell ref="A3:P3"/>
  </mergeCells>
  <hyperlinks>
    <hyperlink ref="M6" location="'Gr-A'!A1" display="A" xr:uid="{00000000-0004-0000-0A00-000000000000}"/>
    <hyperlink ref="N6" location="'Gr-B'!A1" display="B" xr:uid="{00000000-0004-0000-0A00-000001000000}"/>
    <hyperlink ref="O6" location="'Gr-C'!A1" display="C" xr:uid="{00000000-0004-0000-0A00-000002000000}"/>
    <hyperlink ref="P6" location="'Gr-D'!A1" display="D" xr:uid="{00000000-0004-0000-0A00-000003000000}"/>
    <hyperlink ref="M7" location="'Gr-E'!A1" display="E" xr:uid="{00000000-0004-0000-0A00-000004000000}"/>
    <hyperlink ref="N7" location="'Gr-F'!A1" display="F" xr:uid="{00000000-0004-0000-0A00-000005000000}"/>
    <hyperlink ref="O7" location="'Gr-G'!A1" display="G" xr:uid="{00000000-0004-0000-0A00-000006000000}"/>
    <hyperlink ref="P7" location="'Gr-H'!A1" display="H" xr:uid="{00000000-0004-0000-0A00-000007000000}"/>
    <hyperlink ref="M8" location="'Gr-I'!A1" display="I" xr:uid="{00000000-0004-0000-0A00-000008000000}"/>
    <hyperlink ref="O8" location="'Gr-K'!A1" display="K" xr:uid="{00000000-0004-0000-0A00-000009000000}"/>
    <hyperlink ref="P8" location="'Gr-L'!A1" display="L" xr:uid="{00000000-0004-0000-0A00-00000A000000}"/>
    <hyperlink ref="M10" r:id="rId1" xr:uid="{00000000-0004-0000-0A00-00000B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A1:AO20"/>
  <sheetViews>
    <sheetView showGridLines="0" zoomScaleNormal="100" workbookViewId="0">
      <selection activeCell="O7" sqref="O7"/>
    </sheetView>
  </sheetViews>
  <sheetFormatPr defaultColWidth="8.6640625" defaultRowHeight="14.4" x14ac:dyDescent="0.3"/>
  <cols>
    <col min="1" max="1" width="12" customWidth="1"/>
    <col min="2" max="2" width="22" customWidth="1"/>
    <col min="3" max="3" width="3" customWidth="1"/>
    <col min="4" max="4" width="6" customWidth="1"/>
    <col min="5" max="5" width="3" customWidth="1"/>
    <col min="6" max="6" width="6" customWidth="1"/>
    <col min="7" max="7" width="3" customWidth="1"/>
    <col min="8" max="8" width="22" customWidth="1"/>
    <col min="9" max="12" width="4" customWidth="1"/>
    <col min="13" max="16" width="5" customWidth="1"/>
    <col min="17" max="27" width="12" style="9" hidden="1" customWidth="1"/>
    <col min="28" max="28" width="8.21875" style="9" hidden="1" customWidth="1"/>
    <col min="29" max="31" width="8.6640625" style="9" hidden="1" customWidth="1"/>
    <col min="32" max="41" width="8.6640625" hidden="1" customWidth="1"/>
  </cols>
  <sheetData>
    <row r="1" spans="1:27" ht="31.5" customHeight="1" x14ac:dyDescent="0.3">
      <c r="A1" s="67" t="s">
        <v>180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7" ht="6" customHeight="1" x14ac:dyDescent="0.3"/>
    <row r="3" spans="1:27" ht="19.5" customHeight="1" x14ac:dyDescent="0.3">
      <c r="A3" s="72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7" ht="18" customHeight="1" x14ac:dyDescent="0.3">
      <c r="A4" s="10" t="s">
        <v>2</v>
      </c>
      <c r="B4" s="10" t="s">
        <v>3</v>
      </c>
      <c r="D4" s="10" t="s">
        <v>4</v>
      </c>
      <c r="F4" s="10" t="s">
        <v>5</v>
      </c>
      <c r="H4" s="10" t="s">
        <v>6</v>
      </c>
      <c r="I4" s="75" t="s">
        <v>7</v>
      </c>
      <c r="J4" s="69"/>
      <c r="K4" s="70"/>
    </row>
    <row r="5" spans="1:27" ht="21.75" customHeight="1" x14ac:dyDescent="0.3">
      <c r="A5" s="11" t="s">
        <v>181</v>
      </c>
      <c r="B5" s="12" t="str">
        <f>Q5</f>
        <v>Portugal</v>
      </c>
      <c r="C5" s="13"/>
      <c r="D5" s="14">
        <v>1</v>
      </c>
      <c r="E5" s="15" t="s">
        <v>9</v>
      </c>
      <c r="F5" s="14">
        <v>1</v>
      </c>
      <c r="G5" s="13"/>
      <c r="H5" s="16" t="str">
        <f>Q6</f>
        <v>RD Congo</v>
      </c>
      <c r="I5" s="68" t="s">
        <v>117</v>
      </c>
      <c r="J5" s="69"/>
      <c r="K5" s="70"/>
      <c r="M5" s="76" t="s">
        <v>10</v>
      </c>
      <c r="N5" s="77"/>
      <c r="O5" s="77"/>
      <c r="P5" s="78"/>
      <c r="Q5" s="9" t="s">
        <v>182</v>
      </c>
    </row>
    <row r="6" spans="1:27" ht="21.75" customHeight="1" x14ac:dyDescent="0.3">
      <c r="A6" s="17" t="s">
        <v>183</v>
      </c>
      <c r="B6" s="18" t="str">
        <f>Q7</f>
        <v>Uzbequistão</v>
      </c>
      <c r="C6" s="19"/>
      <c r="D6" s="14">
        <v>1</v>
      </c>
      <c r="E6" s="20" t="s">
        <v>9</v>
      </c>
      <c r="F6" s="14">
        <v>3</v>
      </c>
      <c r="G6" s="19"/>
      <c r="H6" s="21" t="str">
        <f>Q8</f>
        <v>Colômbia</v>
      </c>
      <c r="I6" s="71" t="s">
        <v>33</v>
      </c>
      <c r="J6" s="69"/>
      <c r="K6" s="70"/>
      <c r="M6" s="23" t="s">
        <v>13</v>
      </c>
      <c r="N6" s="23" t="s">
        <v>14</v>
      </c>
      <c r="O6" s="23" t="s">
        <v>15</v>
      </c>
      <c r="P6" s="23" t="s">
        <v>16</v>
      </c>
      <c r="Q6" s="9" t="s">
        <v>184</v>
      </c>
    </row>
    <row r="7" spans="1:27" ht="21.75" customHeight="1" x14ac:dyDescent="0.3">
      <c r="A7" s="11" t="s">
        <v>185</v>
      </c>
      <c r="B7" s="12" t="str">
        <f>Q5</f>
        <v>Portugal</v>
      </c>
      <c r="C7" s="13"/>
      <c r="D7" s="14"/>
      <c r="E7" s="15" t="s">
        <v>9</v>
      </c>
      <c r="F7" s="14"/>
      <c r="G7" s="13"/>
      <c r="H7" s="16" t="str">
        <f>Q7</f>
        <v>Uzbequistão</v>
      </c>
      <c r="I7" s="68" t="s">
        <v>117</v>
      </c>
      <c r="J7" s="69"/>
      <c r="K7" s="70"/>
      <c r="M7" s="23" t="s">
        <v>20</v>
      </c>
      <c r="N7" s="23" t="s">
        <v>21</v>
      </c>
      <c r="O7" s="23" t="s">
        <v>22</v>
      </c>
      <c r="P7" s="23" t="s">
        <v>23</v>
      </c>
      <c r="Q7" s="9" t="s">
        <v>186</v>
      </c>
    </row>
    <row r="8" spans="1:27" ht="21.75" customHeight="1" x14ac:dyDescent="0.3">
      <c r="A8" s="17" t="s">
        <v>187</v>
      </c>
      <c r="B8" s="18" t="str">
        <f>Q8</f>
        <v>Colômbia</v>
      </c>
      <c r="C8" s="19"/>
      <c r="D8" s="14"/>
      <c r="E8" s="20" t="s">
        <v>9</v>
      </c>
      <c r="F8" s="14"/>
      <c r="G8" s="19"/>
      <c r="H8" s="21" t="str">
        <f>Q6</f>
        <v>RD Congo</v>
      </c>
      <c r="I8" s="71" t="s">
        <v>26</v>
      </c>
      <c r="J8" s="69"/>
      <c r="K8" s="70"/>
      <c r="M8" s="23" t="s">
        <v>27</v>
      </c>
      <c r="N8" s="23" t="s">
        <v>28</v>
      </c>
      <c r="O8" s="32" t="s">
        <v>29</v>
      </c>
      <c r="P8" s="23" t="s">
        <v>30</v>
      </c>
      <c r="Q8" s="9" t="s">
        <v>188</v>
      </c>
    </row>
    <row r="9" spans="1:27" ht="21.75" customHeight="1" x14ac:dyDescent="0.3">
      <c r="A9" s="11" t="s">
        <v>189</v>
      </c>
      <c r="B9" s="12" t="str">
        <f>Q8</f>
        <v>Colômbia</v>
      </c>
      <c r="C9" s="13"/>
      <c r="D9" s="14"/>
      <c r="E9" s="15" t="s">
        <v>9</v>
      </c>
      <c r="F9" s="14"/>
      <c r="G9" s="13"/>
      <c r="H9" s="16" t="str">
        <f>Q5</f>
        <v>Portugal</v>
      </c>
      <c r="I9" s="68" t="s">
        <v>102</v>
      </c>
      <c r="J9" s="69"/>
      <c r="K9" s="70"/>
    </row>
    <row r="10" spans="1:27" ht="21.75" customHeight="1" x14ac:dyDescent="0.3">
      <c r="A10" s="17" t="s">
        <v>189</v>
      </c>
      <c r="B10" s="18" t="str">
        <f>Q6</f>
        <v>RD Congo</v>
      </c>
      <c r="C10" s="19"/>
      <c r="D10" s="14"/>
      <c r="E10" s="20" t="s">
        <v>9</v>
      </c>
      <c r="F10" s="14"/>
      <c r="G10" s="19"/>
      <c r="H10" s="21" t="str">
        <f>Q7</f>
        <v>Uzbequistão</v>
      </c>
      <c r="I10" s="71" t="s">
        <v>19</v>
      </c>
      <c r="J10" s="69"/>
      <c r="K10" s="70"/>
      <c r="M10" s="74" t="s">
        <v>35</v>
      </c>
      <c r="N10" s="66"/>
      <c r="O10" s="66"/>
      <c r="P10" s="66"/>
    </row>
    <row r="11" spans="1:27" ht="7.5" customHeight="1" x14ac:dyDescent="0.3"/>
    <row r="12" spans="1:27" ht="19.5" customHeight="1" x14ac:dyDescent="0.3">
      <c r="A12" s="72" t="s">
        <v>36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27" ht="18" customHeight="1" x14ac:dyDescent="0.3">
      <c r="A13" s="10" t="s">
        <v>37</v>
      </c>
      <c r="B13" s="10" t="s">
        <v>38</v>
      </c>
      <c r="C13" s="10"/>
      <c r="D13" s="10"/>
      <c r="E13" s="10"/>
      <c r="F13" s="10"/>
      <c r="G13" s="10"/>
      <c r="H13" s="10"/>
      <c r="I13" s="10" t="s">
        <v>28</v>
      </c>
      <c r="J13" s="10" t="s">
        <v>39</v>
      </c>
      <c r="K13" s="10" t="s">
        <v>20</v>
      </c>
      <c r="L13" s="10" t="s">
        <v>16</v>
      </c>
      <c r="M13" s="10" t="s">
        <v>40</v>
      </c>
      <c r="N13" s="10" t="s">
        <v>41</v>
      </c>
      <c r="O13" s="10" t="s">
        <v>42</v>
      </c>
      <c r="P13" s="10" t="s">
        <v>43</v>
      </c>
    </row>
    <row r="14" spans="1:27" ht="21.75" customHeight="1" x14ac:dyDescent="0.3">
      <c r="A14" s="24">
        <v>1</v>
      </c>
      <c r="B14" s="16" t="str">
        <f>INDEX(Q$14:Q$17,MATCH(1,AA$14:AA$17,0))</f>
        <v>Colômbia</v>
      </c>
      <c r="C14" s="25"/>
      <c r="D14" s="25"/>
      <c r="E14" s="25"/>
      <c r="F14" s="25"/>
      <c r="G14" s="25"/>
      <c r="H14" s="25"/>
      <c r="I14" s="26">
        <f>INDEX(R$14:R$17,MATCH(1,AA$14:AA$17,0))</f>
        <v>1</v>
      </c>
      <c r="J14" s="26">
        <f>INDEX(S$14:S$17,MATCH(1,AA$14:AA$17,0))</f>
        <v>1</v>
      </c>
      <c r="K14" s="26">
        <f>INDEX(T$14:T$17,MATCH(1,AA$14:AA$17,0))</f>
        <v>0</v>
      </c>
      <c r="L14" s="26">
        <f>INDEX(U$14:U$17,MATCH(1,AA$14:AA$17,0))</f>
        <v>0</v>
      </c>
      <c r="M14" s="26">
        <f>INDEX(V$14:V$17,MATCH(1,AA$14:AA$17,0))</f>
        <v>3</v>
      </c>
      <c r="N14" s="26">
        <f>INDEX(W$14:W$17,MATCH(1,AA$14:AA$17,0))</f>
        <v>1</v>
      </c>
      <c r="O14" s="26">
        <f>INDEX(X$14:X$17,MATCH(1,AA$14:AA$17,0))</f>
        <v>2</v>
      </c>
      <c r="P14" s="27">
        <f>INDEX(Y$14:Y$17,MATCH(1,AA$14:AA$17,0))</f>
        <v>3</v>
      </c>
      <c r="Q14" s="9" t="str">
        <f>Q5</f>
        <v>Portugal</v>
      </c>
      <c r="R14" s="9">
        <f>((D5&lt;&gt;"")*( F5&lt;&gt;""))+((D7&lt;&gt;"")*( F7&lt;&gt;""))+((D9&lt;&gt;"")*( F9&lt;&gt;""))</f>
        <v>1</v>
      </c>
      <c r="S14" s="9">
        <f>IF(AND(D5&lt;&gt;"",F5&lt;&gt;""),IF(D5&gt;F5,1,0),0)+IF(AND(D7&lt;&gt;"",F7&lt;&gt;""),IF(D7&gt;F7,1,0),0)+IF(AND(D9&lt;&gt;"",F9&lt;&gt;""),IF(F9&gt;D9,1,0),0)</f>
        <v>0</v>
      </c>
      <c r="T14" s="9">
        <f>IF(AND(D5&lt;&gt;"",F5&lt;&gt;""),IF(D5=F5,1,0),0)+IF(AND(D7&lt;&gt;"",F7&lt;&gt;""),IF(D7=F7,1,0),0)+IF(AND(D9&lt;&gt;"",F9&lt;&gt;""),IF(D9=F9,1,0),0)</f>
        <v>1</v>
      </c>
      <c r="U14" s="9">
        <f>IF(AND(D5&lt;&gt;"",F5&lt;&gt;""),IF(D5&lt;F5,1,0),0)+IF(AND(D7&lt;&gt;"",F7&lt;&gt;""),IF(D7&lt;F7,1,0),0)+IF(AND(D9&lt;&gt;"",F9&lt;&gt;""),IF(F9&lt;D9,1,0),0)</f>
        <v>0</v>
      </c>
      <c r="V14" s="9">
        <f>IF(D5="",0,D5)+IF(D7="",0,D7)+IF(F9="",0,F9)</f>
        <v>1</v>
      </c>
      <c r="W14" s="9">
        <f>IF(F5="",0,F5)+IF(F7="",0,F7)+IF(D9="",0,D9)</f>
        <v>1</v>
      </c>
      <c r="X14" s="9">
        <f>V14-W14</f>
        <v>0</v>
      </c>
      <c r="Y14" s="9">
        <f>S14*3+T14</f>
        <v>1</v>
      </c>
      <c r="Z14" s="9">
        <f>Y14*1000000+(X14+100)*10000+V14*100+4</f>
        <v>2000104</v>
      </c>
      <c r="AA14" s="9">
        <f>RANK(Z14,Z$14:Z$17,0)</f>
        <v>2</v>
      </c>
    </row>
    <row r="15" spans="1:27" ht="21.75" customHeight="1" x14ac:dyDescent="0.3">
      <c r="A15" s="24">
        <v>2</v>
      </c>
      <c r="B15" s="16" t="str">
        <f>INDEX(Q$14:Q$17,MATCH(2,AA$14:AA$17,0))</f>
        <v>Portugal</v>
      </c>
      <c r="C15" s="25"/>
      <c r="D15" s="25"/>
      <c r="E15" s="25"/>
      <c r="F15" s="25"/>
      <c r="G15" s="25"/>
      <c r="H15" s="25"/>
      <c r="I15" s="26">
        <f>INDEX(R$14:R$17,MATCH(2,AA$14:AA$17,0))</f>
        <v>1</v>
      </c>
      <c r="J15" s="26">
        <f>INDEX(S$14:S$17,MATCH(2,AA$14:AA$17,0))</f>
        <v>0</v>
      </c>
      <c r="K15" s="26">
        <f>INDEX(T$14:T$17,MATCH(2,AA$14:AA$17,0))</f>
        <v>1</v>
      </c>
      <c r="L15" s="26">
        <f>INDEX(U$14:U$17,MATCH(2,AA$14:AA$17,0))</f>
        <v>0</v>
      </c>
      <c r="M15" s="26">
        <f>INDEX(V$14:V$17,MATCH(2,AA$14:AA$17,0))</f>
        <v>1</v>
      </c>
      <c r="N15" s="26">
        <f>INDEX(W$14:W$17,MATCH(2,AA$14:AA$17,0))</f>
        <v>1</v>
      </c>
      <c r="O15" s="26">
        <f>INDEX(X$14:X$17,MATCH(2,AA$14:AA$17,0))</f>
        <v>0</v>
      </c>
      <c r="P15" s="27">
        <f>INDEX(Y$14:Y$17,MATCH(2,AA$14:AA$17,0))</f>
        <v>1</v>
      </c>
      <c r="Q15" s="9" t="str">
        <f>Q6</f>
        <v>RD Congo</v>
      </c>
      <c r="R15" s="9">
        <f>((D5&lt;&gt;"")*( F5&lt;&gt;""))+((D8&lt;&gt;"")*( F8&lt;&gt;""))+((D10&lt;&gt;"")*( F10&lt;&gt;""))</f>
        <v>1</v>
      </c>
      <c r="S15" s="9">
        <f>IF(AND(D5&lt;&gt;"",F5&lt;&gt;""),IF(F5&gt;D5,1,0),0)+IF(AND(D8&lt;&gt;"",F8&lt;&gt;""),IF(F8&gt;D8,1,0),0)+IF(AND(D10&lt;&gt;"",F10&lt;&gt;""),IF(D10&gt;F10,1,0),0)</f>
        <v>0</v>
      </c>
      <c r="T15" s="9">
        <f>IF(AND(D5&lt;&gt;"",F5&lt;&gt;""),IF(D5=F5,1,0),0)+IF(AND(D8&lt;&gt;"",F8&lt;&gt;""),IF(D8=F8,1,0),0)+IF(AND(D10&lt;&gt;"",F10&lt;&gt;""),IF(D10=F10,1,0),0)</f>
        <v>1</v>
      </c>
      <c r="U15" s="9">
        <f>IF(AND(D5&lt;&gt;"",F5&lt;&gt;""),IF(F5&lt;D5,1,0),0)+IF(AND(D8&lt;&gt;"",F8&lt;&gt;""),IF(F8&lt;D8,1,0),0)+IF(AND(D10&lt;&gt;"",F10&lt;&gt;""),IF(D10&lt;F10,1,0),0)</f>
        <v>0</v>
      </c>
      <c r="V15" s="9">
        <f>IF(F5="",0,F5)+IF(F8="",0,F8)+IF(D10="",0,D10)</f>
        <v>1</v>
      </c>
      <c r="W15" s="9">
        <f>IF(D5="",0,D5)+IF(D8="",0,D8)+IF(F10="",0,F10)</f>
        <v>1</v>
      </c>
      <c r="X15" s="9">
        <f>V15-W15</f>
        <v>0</v>
      </c>
      <c r="Y15" s="9">
        <f>S15*3+T15</f>
        <v>1</v>
      </c>
      <c r="Z15" s="9">
        <f>Y15*1000000+(X15+100)*10000+V15*100+3</f>
        <v>2000103</v>
      </c>
      <c r="AA15" s="9">
        <f>RANK(Z15,Z$14:Z$17,0)</f>
        <v>3</v>
      </c>
    </row>
    <row r="16" spans="1:27" ht="21.75" customHeight="1" x14ac:dyDescent="0.3">
      <c r="A16" s="28">
        <v>3</v>
      </c>
      <c r="B16" s="16" t="str">
        <f>INDEX(Q$14:Q$17,MATCH(3,AA$14:AA$17,0))</f>
        <v>RD Congo</v>
      </c>
      <c r="C16" s="25"/>
      <c r="D16" s="25"/>
      <c r="E16" s="25"/>
      <c r="F16" s="25"/>
      <c r="G16" s="25"/>
      <c r="H16" s="25"/>
      <c r="I16" s="26">
        <f>INDEX(R$14:R$17,MATCH(3,AA$14:AA$17,0))</f>
        <v>1</v>
      </c>
      <c r="J16" s="26">
        <f>INDEX(S$14:S$17,MATCH(3,AA$14:AA$17,0))</f>
        <v>0</v>
      </c>
      <c r="K16" s="26">
        <f>INDEX(T$14:T$17,MATCH(3,AA$14:AA$17,0))</f>
        <v>1</v>
      </c>
      <c r="L16" s="26">
        <f>INDEX(U$14:U$17,MATCH(3,AA$14:AA$17,0))</f>
        <v>0</v>
      </c>
      <c r="M16" s="26">
        <f>INDEX(V$14:V$17,MATCH(3,AA$14:AA$17,0))</f>
        <v>1</v>
      </c>
      <c r="N16" s="26">
        <f>INDEX(W$14:W$17,MATCH(3,AA$14:AA$17,0))</f>
        <v>1</v>
      </c>
      <c r="O16" s="26">
        <f>INDEX(X$14:X$17,MATCH(3,AA$14:AA$17,0))</f>
        <v>0</v>
      </c>
      <c r="P16" s="29">
        <f>INDEX(Y$14:Y$17,MATCH(3,AA$14:AA$17,0))</f>
        <v>1</v>
      </c>
      <c r="Q16" s="9" t="str">
        <f>Q7</f>
        <v>Uzbequistão</v>
      </c>
      <c r="R16" s="9">
        <f>((D6&lt;&gt;"")*( F6&lt;&gt;""))+((D7&lt;&gt;"")*( F7&lt;&gt;""))+((D10&lt;&gt;"")*( F10&lt;&gt;""))</f>
        <v>1</v>
      </c>
      <c r="S16" s="9">
        <f>IF(AND(D6&lt;&gt;"",F6&lt;&gt;""),IF(D6&gt;F6,1,0),0)+IF(AND(D7&lt;&gt;"",F7&lt;&gt;""),IF(F7&gt;D7,1,0),0)+IF(AND(D10&lt;&gt;"",F10&lt;&gt;""),IF(F10&gt;D10,1,0),0)</f>
        <v>0</v>
      </c>
      <c r="T16" s="9">
        <f>IF(AND(D6&lt;&gt;"",F6&lt;&gt;""),IF(D6=F6,1,0),0)+IF(AND(D7&lt;&gt;"",F7&lt;&gt;""),IF(D7=F7,1,0),0)+IF(AND(D10&lt;&gt;"",F10&lt;&gt;""),IF(D10=F10,1,0),0)</f>
        <v>0</v>
      </c>
      <c r="U16" s="9">
        <f>IF(AND(D6&lt;&gt;"",F6&lt;&gt;""),IF(D6&lt;F6,1,0),0)+IF(AND(D7&lt;&gt;"",F7&lt;&gt;""),IF(F7&lt;D7,1,0),0)+IF(AND(D10&lt;&gt;"",F10&lt;&gt;""),IF(F10&lt;D10,1,0),0)</f>
        <v>1</v>
      </c>
      <c r="V16" s="9">
        <f>IF(D6="",0,D6)+IF(F7="",0,F7)+IF(F10="",0,F10)</f>
        <v>1</v>
      </c>
      <c r="W16" s="9">
        <f>IF(F6="",0,F6)+IF(D7="",0,D7)+IF(D10="",0,D10)</f>
        <v>3</v>
      </c>
      <c r="X16" s="9">
        <f>V16-W16</f>
        <v>-2</v>
      </c>
      <c r="Y16" s="9">
        <f>S16*3+T16</f>
        <v>0</v>
      </c>
      <c r="Z16" s="9">
        <f>Y16*1000000+(X16+100)*10000+V16*100+2</f>
        <v>980102</v>
      </c>
      <c r="AA16" s="9">
        <f>RANK(Z16,Z$14:Z$17,0)</f>
        <v>4</v>
      </c>
    </row>
    <row r="17" spans="1:27" ht="21.75" customHeight="1" x14ac:dyDescent="0.3">
      <c r="A17" s="30">
        <v>4</v>
      </c>
      <c r="B17" s="16" t="str">
        <f>INDEX(Q$14:Q$17,MATCH(4,AA$14:AA$17,0))</f>
        <v>Uzbequistão</v>
      </c>
      <c r="C17" s="25"/>
      <c r="D17" s="25"/>
      <c r="E17" s="25"/>
      <c r="F17" s="25"/>
      <c r="G17" s="25"/>
      <c r="H17" s="25"/>
      <c r="I17" s="26">
        <f>INDEX(R$14:R$17,MATCH(4,AA$14:AA$17,0))</f>
        <v>1</v>
      </c>
      <c r="J17" s="26">
        <f>INDEX(S$14:S$17,MATCH(4,AA$14:AA$17,0))</f>
        <v>0</v>
      </c>
      <c r="K17" s="26">
        <f>INDEX(T$14:T$17,MATCH(4,AA$14:AA$17,0))</f>
        <v>0</v>
      </c>
      <c r="L17" s="26">
        <f>INDEX(U$14:U$17,MATCH(4,AA$14:AA$17,0))</f>
        <v>1</v>
      </c>
      <c r="M17" s="26">
        <f>INDEX(V$14:V$17,MATCH(4,AA$14:AA$17,0))</f>
        <v>1</v>
      </c>
      <c r="N17" s="26">
        <f>INDEX(W$14:W$17,MATCH(4,AA$14:AA$17,0))</f>
        <v>3</v>
      </c>
      <c r="O17" s="26">
        <f>INDEX(X$14:X$17,MATCH(4,AA$14:AA$17,0))</f>
        <v>-2</v>
      </c>
      <c r="P17" s="31">
        <f>INDEX(Y$14:Y$17,MATCH(4,AA$14:AA$17,0))</f>
        <v>0</v>
      </c>
      <c r="Q17" s="9" t="str">
        <f>Q8</f>
        <v>Colômbia</v>
      </c>
      <c r="R17" s="9">
        <f>((D6&lt;&gt;"")*( F6&lt;&gt;""))+((D8&lt;&gt;"")*( F8&lt;&gt;""))+((D9&lt;&gt;"")*( F9&lt;&gt;""))</f>
        <v>1</v>
      </c>
      <c r="S17" s="9">
        <f>IF(AND(D6&lt;&gt;"",F6&lt;&gt;""),IF(F6&gt;D6,1,0),0)+IF(AND(D8&lt;&gt;"",F8&lt;&gt;""),IF(D8&gt;F8,1,0),0)+IF(AND(D9&lt;&gt;"",F9&lt;&gt;""),IF(D9&gt;F9,1,0),0)</f>
        <v>1</v>
      </c>
      <c r="T17" s="9">
        <f>IF(AND(D6&lt;&gt;"",F6&lt;&gt;""),IF(D6=F6,1,0),0)+IF(AND(D8&lt;&gt;"",F8&lt;&gt;""),IF(D8=F8,1,0),0)+IF(AND(D9&lt;&gt;"",F9&lt;&gt;""),IF(D9=F9,1,0),0)</f>
        <v>0</v>
      </c>
      <c r="U17" s="9">
        <f>IF(AND(D6&lt;&gt;"",F6&lt;&gt;""),IF(F6&lt;D6,1,0),0)+IF(AND(D8&lt;&gt;"",F8&lt;&gt;""),IF(D8&lt;F8,1,0),0)+IF(AND(D9&lt;&gt;"",F9&lt;&gt;""),IF(D9&lt;F9,1,0),0)</f>
        <v>0</v>
      </c>
      <c r="V17" s="9">
        <f>IF(F6="",0,F6)+IF(D8="",0,D8)+IF(D9="",0,D9)</f>
        <v>3</v>
      </c>
      <c r="W17" s="9">
        <f>IF(D6="",0,D6)+IF(F8="",0,F8)+IF(F9="",0,F9)</f>
        <v>1</v>
      </c>
      <c r="X17" s="9">
        <f>V17-W17</f>
        <v>2</v>
      </c>
      <c r="Y17" s="9">
        <f>S17*3+T17</f>
        <v>3</v>
      </c>
      <c r="Z17" s="9">
        <f>Y17*1000000+(X17+100)*10000+V17*100+1</f>
        <v>4020301</v>
      </c>
      <c r="AA17" s="9">
        <f>RANK(Z17,Z$14:Z$17,0)</f>
        <v>1</v>
      </c>
    </row>
    <row r="19" spans="1:27" ht="7.5" customHeight="1" x14ac:dyDescent="0.3"/>
    <row r="20" spans="1:27" ht="15.75" customHeight="1" x14ac:dyDescent="0.3">
      <c r="A20" s="73" t="s">
        <v>44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</sheetData>
  <mergeCells count="13">
    <mergeCell ref="A20:P20"/>
    <mergeCell ref="M10:P10"/>
    <mergeCell ref="I4:K4"/>
    <mergeCell ref="I7:K7"/>
    <mergeCell ref="I6:K6"/>
    <mergeCell ref="M5:P5"/>
    <mergeCell ref="I10:K10"/>
    <mergeCell ref="A1:P1"/>
    <mergeCell ref="I5:K5"/>
    <mergeCell ref="I9:K9"/>
    <mergeCell ref="I8:K8"/>
    <mergeCell ref="A12:P12"/>
    <mergeCell ref="A3:P3"/>
  </mergeCells>
  <hyperlinks>
    <hyperlink ref="M6" location="'Gr-A'!A1" display="A" xr:uid="{00000000-0004-0000-0B00-000000000000}"/>
    <hyperlink ref="N6" location="'Gr-B'!A1" display="B" xr:uid="{00000000-0004-0000-0B00-000001000000}"/>
    <hyperlink ref="O6" location="'Gr-C'!A1" display="C" xr:uid="{00000000-0004-0000-0B00-000002000000}"/>
    <hyperlink ref="P6" location="'Gr-D'!A1" display="D" xr:uid="{00000000-0004-0000-0B00-000003000000}"/>
    <hyperlink ref="M7" location="'Gr-E'!A1" display="E" xr:uid="{00000000-0004-0000-0B00-000004000000}"/>
    <hyperlink ref="N7" location="'Gr-F'!A1" display="F" xr:uid="{00000000-0004-0000-0B00-000005000000}"/>
    <hyperlink ref="O7" location="'Gr-G'!A1" display="G" xr:uid="{00000000-0004-0000-0B00-000006000000}"/>
    <hyperlink ref="P7" location="'Gr-H'!A1" display="H" xr:uid="{00000000-0004-0000-0B00-000007000000}"/>
    <hyperlink ref="M8" location="'Gr-I'!A1" display="I" xr:uid="{00000000-0004-0000-0B00-000008000000}"/>
    <hyperlink ref="N8" location="'Gr-J'!A1" display="J" xr:uid="{00000000-0004-0000-0B00-000009000000}"/>
    <hyperlink ref="P8" location="'Gr-L'!A1" display="L" xr:uid="{00000000-0004-0000-0B00-00000A000000}"/>
    <hyperlink ref="M10" r:id="rId1" xr:uid="{00000000-0004-0000-0B00-00000B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AO20"/>
  <sheetViews>
    <sheetView showGridLines="0" zoomScaleNormal="100" workbookViewId="0">
      <selection activeCell="AQ11" sqref="AQ11"/>
    </sheetView>
  </sheetViews>
  <sheetFormatPr defaultColWidth="8.6640625" defaultRowHeight="14.4" x14ac:dyDescent="0.3"/>
  <cols>
    <col min="1" max="1" width="12" customWidth="1"/>
    <col min="2" max="2" width="22" customWidth="1"/>
    <col min="3" max="3" width="3" customWidth="1"/>
    <col min="4" max="4" width="6" customWidth="1"/>
    <col min="5" max="5" width="3" customWidth="1"/>
    <col min="6" max="6" width="6" customWidth="1"/>
    <col min="7" max="7" width="3" customWidth="1"/>
    <col min="8" max="8" width="22" customWidth="1"/>
    <col min="9" max="12" width="4" customWidth="1"/>
    <col min="13" max="16" width="5" customWidth="1"/>
    <col min="17" max="27" width="12" style="9" hidden="1" customWidth="1"/>
    <col min="28" max="28" width="8.21875" style="9" hidden="1" customWidth="1"/>
    <col min="29" max="31" width="8.6640625" style="9" hidden="1" customWidth="1"/>
    <col min="32" max="41" width="8.6640625" hidden="1" customWidth="1"/>
  </cols>
  <sheetData>
    <row r="1" spans="1:27" ht="31.5" customHeight="1" x14ac:dyDescent="0.3">
      <c r="A1" s="67" t="s">
        <v>190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7" ht="6" customHeight="1" x14ac:dyDescent="0.3"/>
    <row r="3" spans="1:27" ht="19.5" customHeight="1" x14ac:dyDescent="0.3">
      <c r="A3" s="72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7" ht="18" customHeight="1" x14ac:dyDescent="0.3">
      <c r="A4" s="10" t="s">
        <v>2</v>
      </c>
      <c r="B4" s="10" t="s">
        <v>3</v>
      </c>
      <c r="D4" s="10" t="s">
        <v>4</v>
      </c>
      <c r="F4" s="10" t="s">
        <v>5</v>
      </c>
      <c r="H4" s="10" t="s">
        <v>6</v>
      </c>
      <c r="I4" s="75" t="s">
        <v>7</v>
      </c>
      <c r="J4" s="69"/>
      <c r="K4" s="70"/>
    </row>
    <row r="5" spans="1:27" ht="21.75" customHeight="1" x14ac:dyDescent="0.3">
      <c r="A5" s="11" t="s">
        <v>191</v>
      </c>
      <c r="B5" s="12" t="str">
        <f>Q5</f>
        <v>Inglaterra</v>
      </c>
      <c r="C5" s="13"/>
      <c r="D5" s="14">
        <v>4</v>
      </c>
      <c r="E5" s="15" t="s">
        <v>9</v>
      </c>
      <c r="F5" s="14">
        <v>2</v>
      </c>
      <c r="G5" s="13"/>
      <c r="H5" s="16" t="str">
        <f>Q6</f>
        <v>Croácia</v>
      </c>
      <c r="I5" s="68" t="s">
        <v>130</v>
      </c>
      <c r="J5" s="69"/>
      <c r="K5" s="70"/>
      <c r="M5" s="79" t="s">
        <v>10</v>
      </c>
      <c r="N5" s="77"/>
      <c r="O5" s="77"/>
      <c r="P5" s="78"/>
      <c r="Q5" s="9" t="s">
        <v>192</v>
      </c>
    </row>
    <row r="6" spans="1:27" ht="21.75" customHeight="1" x14ac:dyDescent="0.3">
      <c r="A6" s="17" t="s">
        <v>193</v>
      </c>
      <c r="B6" s="18" t="str">
        <f>Q7</f>
        <v>Gana</v>
      </c>
      <c r="C6" s="19"/>
      <c r="D6" s="14">
        <v>1</v>
      </c>
      <c r="E6" s="20" t="s">
        <v>9</v>
      </c>
      <c r="F6" s="14">
        <v>0</v>
      </c>
      <c r="G6" s="19"/>
      <c r="H6" s="21" t="str">
        <f>Q8</f>
        <v>Panamá</v>
      </c>
      <c r="I6" s="71" t="s">
        <v>76</v>
      </c>
      <c r="J6" s="69"/>
      <c r="K6" s="70"/>
      <c r="M6" s="23" t="s">
        <v>13</v>
      </c>
      <c r="N6" s="23" t="s">
        <v>14</v>
      </c>
      <c r="O6" s="23" t="s">
        <v>15</v>
      </c>
      <c r="P6" s="23" t="s">
        <v>16</v>
      </c>
      <c r="Q6" s="9" t="s">
        <v>194</v>
      </c>
    </row>
    <row r="7" spans="1:27" ht="21.75" customHeight="1" x14ac:dyDescent="0.3">
      <c r="A7" s="11" t="s">
        <v>195</v>
      </c>
      <c r="B7" s="12" t="str">
        <f>Q5</f>
        <v>Inglaterra</v>
      </c>
      <c r="C7" s="13"/>
      <c r="D7" s="14"/>
      <c r="E7" s="15" t="s">
        <v>9</v>
      </c>
      <c r="F7" s="14"/>
      <c r="G7" s="13"/>
      <c r="H7" s="16" t="str">
        <f>Q7</f>
        <v>Gana</v>
      </c>
      <c r="I7" s="68" t="s">
        <v>94</v>
      </c>
      <c r="J7" s="69"/>
      <c r="K7" s="70"/>
      <c r="M7" s="23" t="s">
        <v>20</v>
      </c>
      <c r="N7" s="23" t="s">
        <v>21</v>
      </c>
      <c r="O7" s="23" t="s">
        <v>22</v>
      </c>
      <c r="P7" s="23" t="s">
        <v>23</v>
      </c>
      <c r="Q7" s="9" t="s">
        <v>196</v>
      </c>
    </row>
    <row r="8" spans="1:27" ht="21.75" customHeight="1" x14ac:dyDescent="0.3">
      <c r="A8" s="17" t="s">
        <v>197</v>
      </c>
      <c r="B8" s="18" t="str">
        <f>Q8</f>
        <v>Panamá</v>
      </c>
      <c r="C8" s="19"/>
      <c r="D8" s="14"/>
      <c r="E8" s="20" t="s">
        <v>9</v>
      </c>
      <c r="F8" s="14"/>
      <c r="G8" s="19"/>
      <c r="H8" s="21" t="str">
        <f>Q6</f>
        <v>Croácia</v>
      </c>
      <c r="I8" s="71" t="s">
        <v>122</v>
      </c>
      <c r="J8" s="69"/>
      <c r="K8" s="70"/>
      <c r="M8" s="23" t="s">
        <v>27</v>
      </c>
      <c r="N8" s="23" t="s">
        <v>28</v>
      </c>
      <c r="O8" s="23" t="s">
        <v>29</v>
      </c>
      <c r="P8" s="32" t="s">
        <v>30</v>
      </c>
      <c r="Q8" s="9" t="s">
        <v>198</v>
      </c>
    </row>
    <row r="9" spans="1:27" ht="21.75" customHeight="1" x14ac:dyDescent="0.3">
      <c r="A9" s="11" t="s">
        <v>199</v>
      </c>
      <c r="B9" s="12" t="str">
        <f>Q6</f>
        <v>Croácia</v>
      </c>
      <c r="C9" s="13"/>
      <c r="D9" s="14"/>
      <c r="E9" s="15" t="s">
        <v>9</v>
      </c>
      <c r="F9" s="14"/>
      <c r="G9" s="13"/>
      <c r="H9" s="16" t="str">
        <f>Q7</f>
        <v>Gana</v>
      </c>
      <c r="I9" s="68" t="s">
        <v>99</v>
      </c>
      <c r="J9" s="69"/>
      <c r="K9" s="70"/>
    </row>
    <row r="10" spans="1:27" ht="21.75" customHeight="1" x14ac:dyDescent="0.3">
      <c r="A10" s="17" t="s">
        <v>199</v>
      </c>
      <c r="B10" s="18" t="str">
        <f>Q8</f>
        <v>Panamá</v>
      </c>
      <c r="C10" s="19"/>
      <c r="D10" s="14"/>
      <c r="E10" s="20" t="s">
        <v>9</v>
      </c>
      <c r="F10" s="14"/>
      <c r="G10" s="19"/>
      <c r="H10" s="21" t="str">
        <f>Q5</f>
        <v>Inglaterra</v>
      </c>
      <c r="I10" s="71" t="s">
        <v>91</v>
      </c>
      <c r="J10" s="69"/>
      <c r="K10" s="70"/>
      <c r="M10" s="74" t="s">
        <v>35</v>
      </c>
      <c r="N10" s="66"/>
      <c r="O10" s="66"/>
      <c r="P10" s="66"/>
    </row>
    <row r="11" spans="1:27" ht="7.5" customHeight="1" x14ac:dyDescent="0.3"/>
    <row r="12" spans="1:27" ht="19.5" customHeight="1" x14ac:dyDescent="0.3">
      <c r="A12" s="72" t="s">
        <v>36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27" ht="18" customHeight="1" x14ac:dyDescent="0.3">
      <c r="A13" s="10" t="s">
        <v>37</v>
      </c>
      <c r="B13" s="10" t="s">
        <v>38</v>
      </c>
      <c r="C13" s="10"/>
      <c r="D13" s="10"/>
      <c r="E13" s="10"/>
      <c r="F13" s="10"/>
      <c r="G13" s="10"/>
      <c r="H13" s="10"/>
      <c r="I13" s="10" t="s">
        <v>28</v>
      </c>
      <c r="J13" s="10" t="s">
        <v>39</v>
      </c>
      <c r="K13" s="10" t="s">
        <v>20</v>
      </c>
      <c r="L13" s="10" t="s">
        <v>16</v>
      </c>
      <c r="M13" s="10" t="s">
        <v>40</v>
      </c>
      <c r="N13" s="10" t="s">
        <v>41</v>
      </c>
      <c r="O13" s="10" t="s">
        <v>42</v>
      </c>
      <c r="P13" s="10" t="s">
        <v>43</v>
      </c>
    </row>
    <row r="14" spans="1:27" ht="21.75" customHeight="1" x14ac:dyDescent="0.3">
      <c r="A14" s="24">
        <v>1</v>
      </c>
      <c r="B14" s="16" t="str">
        <f>INDEX(Q$14:Q$17,MATCH(1,AA$14:AA$17,0))</f>
        <v>Inglaterra</v>
      </c>
      <c r="C14" s="25"/>
      <c r="D14" s="25"/>
      <c r="E14" s="25"/>
      <c r="F14" s="25"/>
      <c r="G14" s="25"/>
      <c r="H14" s="25"/>
      <c r="I14" s="26">
        <f>INDEX(R$14:R$17,MATCH(1,AA$14:AA$17,0))</f>
        <v>1</v>
      </c>
      <c r="J14" s="26">
        <f>INDEX(S$14:S$17,MATCH(1,AA$14:AA$17,0))</f>
        <v>1</v>
      </c>
      <c r="K14" s="26">
        <f>INDEX(T$14:T$17,MATCH(1,AA$14:AA$17,0))</f>
        <v>0</v>
      </c>
      <c r="L14" s="26">
        <f>INDEX(U$14:U$17,MATCH(1,AA$14:AA$17,0))</f>
        <v>0</v>
      </c>
      <c r="M14" s="26">
        <f>INDEX(V$14:V$17,MATCH(1,AA$14:AA$17,0))</f>
        <v>4</v>
      </c>
      <c r="N14" s="26">
        <f>INDEX(W$14:W$17,MATCH(1,AA$14:AA$17,0))</f>
        <v>2</v>
      </c>
      <c r="O14" s="26">
        <f>INDEX(X$14:X$17,MATCH(1,AA$14:AA$17,0))</f>
        <v>2</v>
      </c>
      <c r="P14" s="27">
        <f>INDEX(Y$14:Y$17,MATCH(1,AA$14:AA$17,0))</f>
        <v>3</v>
      </c>
      <c r="Q14" s="9" t="str">
        <f>Q5</f>
        <v>Inglaterra</v>
      </c>
      <c r="R14" s="9">
        <f>((D5&lt;&gt;"")*( F5&lt;&gt;""))+((D7&lt;&gt;"")*( F7&lt;&gt;""))+((D10&lt;&gt;"")*( F10&lt;&gt;""))</f>
        <v>1</v>
      </c>
      <c r="S14" s="9">
        <f>IF(AND(D5&lt;&gt;"",F5&lt;&gt;""),IF(D5&gt;F5,1,0),0)+IF(AND(D7&lt;&gt;"",F7&lt;&gt;""),IF(D7&gt;F7,1,0),0)+IF(AND(D10&lt;&gt;"",F10&lt;&gt;""),IF(F10&gt;D10,1,0),0)</f>
        <v>1</v>
      </c>
      <c r="T14" s="9">
        <f>IF(AND(D5&lt;&gt;"",F5&lt;&gt;""),IF(D5=F5,1,0),0)+IF(AND(D7&lt;&gt;"",F7&lt;&gt;""),IF(D7=F7,1,0),0)+IF(AND(D10&lt;&gt;"",F10&lt;&gt;""),IF(D10=F10,1,0),0)</f>
        <v>0</v>
      </c>
      <c r="U14" s="9">
        <f>IF(AND(D5&lt;&gt;"",F5&lt;&gt;""),IF(D5&lt;F5,1,0),0)+IF(AND(D7&lt;&gt;"",F7&lt;&gt;""),IF(D7&lt;F7,1,0),0)+IF(AND(D10&lt;&gt;"",F10&lt;&gt;""),IF(F10&lt;D10,1,0),0)</f>
        <v>0</v>
      </c>
      <c r="V14" s="9">
        <f>IF(D5="",0,D5)+IF(D7="",0,D7)+IF(F10="",0,F10)</f>
        <v>4</v>
      </c>
      <c r="W14" s="9">
        <f>IF(F5="",0,F5)+IF(F7="",0,F7)+IF(D10="",0,D10)</f>
        <v>2</v>
      </c>
      <c r="X14" s="9">
        <f>V14-W14</f>
        <v>2</v>
      </c>
      <c r="Y14" s="9">
        <f>S14*3+T14</f>
        <v>3</v>
      </c>
      <c r="Z14" s="9">
        <f>Y14*1000000+(X14+100)*10000+V14*100+4</f>
        <v>4020404</v>
      </c>
      <c r="AA14" s="9">
        <f>RANK(Z14,Z$14:Z$17,0)</f>
        <v>1</v>
      </c>
    </row>
    <row r="15" spans="1:27" ht="21.75" customHeight="1" x14ac:dyDescent="0.3">
      <c r="A15" s="24">
        <v>2</v>
      </c>
      <c r="B15" s="16" t="str">
        <f>INDEX(Q$14:Q$17,MATCH(2,AA$14:AA$17,0))</f>
        <v>Gana</v>
      </c>
      <c r="C15" s="25"/>
      <c r="D15" s="25"/>
      <c r="E15" s="25"/>
      <c r="F15" s="25"/>
      <c r="G15" s="25"/>
      <c r="H15" s="25"/>
      <c r="I15" s="26">
        <f>INDEX(R$14:R$17,MATCH(2,AA$14:AA$17,0))</f>
        <v>1</v>
      </c>
      <c r="J15" s="26">
        <f>INDEX(S$14:S$17,MATCH(2,AA$14:AA$17,0))</f>
        <v>1</v>
      </c>
      <c r="K15" s="26">
        <f>INDEX(T$14:T$17,MATCH(2,AA$14:AA$17,0))</f>
        <v>0</v>
      </c>
      <c r="L15" s="26">
        <f>INDEX(U$14:U$17,MATCH(2,AA$14:AA$17,0))</f>
        <v>0</v>
      </c>
      <c r="M15" s="26">
        <f>INDEX(V$14:V$17,MATCH(2,AA$14:AA$17,0))</f>
        <v>1</v>
      </c>
      <c r="N15" s="26">
        <f>INDEX(W$14:W$17,MATCH(2,AA$14:AA$17,0))</f>
        <v>0</v>
      </c>
      <c r="O15" s="26">
        <f>INDEX(X$14:X$17,MATCH(2,AA$14:AA$17,0))</f>
        <v>1</v>
      </c>
      <c r="P15" s="27">
        <f>INDEX(Y$14:Y$17,MATCH(2,AA$14:AA$17,0))</f>
        <v>3</v>
      </c>
      <c r="Q15" s="9" t="str">
        <f>Q6</f>
        <v>Croácia</v>
      </c>
      <c r="R15" s="9">
        <f>((D5&lt;&gt;"")*( F5&lt;&gt;""))+((D8&lt;&gt;"")*( F8&lt;&gt;""))+((D9&lt;&gt;"")*( F9&lt;&gt;""))</f>
        <v>1</v>
      </c>
      <c r="S15" s="9">
        <f>IF(AND(D5&lt;&gt;"",F5&lt;&gt;""),IF(F5&gt;D5,1,0),0)+IF(AND(D8&lt;&gt;"",F8&lt;&gt;""),IF(F8&gt;D8,1,0),0)+IF(AND(D9&lt;&gt;"",F9&lt;&gt;""),IF(D9&gt;F9,1,0),0)</f>
        <v>0</v>
      </c>
      <c r="T15" s="9">
        <f>IF(AND(D5&lt;&gt;"",F5&lt;&gt;""),IF(D5=F5,1,0),0)+IF(AND(D8&lt;&gt;"",F8&lt;&gt;""),IF(D8=F8,1,0),0)+IF(AND(D9&lt;&gt;"",F9&lt;&gt;""),IF(D9=F9,1,0),0)</f>
        <v>0</v>
      </c>
      <c r="U15" s="9">
        <f>IF(AND(D5&lt;&gt;"",F5&lt;&gt;""),IF(F5&lt;D5,1,0),0)+IF(AND(D8&lt;&gt;"",F8&lt;&gt;""),IF(F8&lt;D8,1,0),0)+IF(AND(D9&lt;&gt;"",F9&lt;&gt;""),IF(D9&lt;F9,1,0),0)</f>
        <v>1</v>
      </c>
      <c r="V15" s="9">
        <f>IF(F5="",0,F5)+IF(F8="",0,F8)+IF(D9="",0,D9)</f>
        <v>2</v>
      </c>
      <c r="W15" s="9">
        <f>IF(D5="",0,D5)+IF(D8="",0,D8)+IF(F9="",0,F9)</f>
        <v>4</v>
      </c>
      <c r="X15" s="9">
        <f>V15-W15</f>
        <v>-2</v>
      </c>
      <c r="Y15" s="9">
        <f>S15*3+T15</f>
        <v>0</v>
      </c>
      <c r="Z15" s="9">
        <f>Y15*1000000+(X15+100)*10000+V15*100+3</f>
        <v>980203</v>
      </c>
      <c r="AA15" s="9">
        <f>RANK(Z15,Z$14:Z$17,0)</f>
        <v>4</v>
      </c>
    </row>
    <row r="16" spans="1:27" ht="21.75" customHeight="1" x14ac:dyDescent="0.3">
      <c r="A16" s="28">
        <v>3</v>
      </c>
      <c r="B16" s="16" t="str">
        <f>INDEX(Q$14:Q$17,MATCH(3,AA$14:AA$17,0))</f>
        <v>Panamá</v>
      </c>
      <c r="C16" s="25"/>
      <c r="D16" s="25"/>
      <c r="E16" s="25"/>
      <c r="F16" s="25"/>
      <c r="G16" s="25"/>
      <c r="H16" s="25"/>
      <c r="I16" s="26">
        <f>INDEX(R$14:R$17,MATCH(3,AA$14:AA$17,0))</f>
        <v>1</v>
      </c>
      <c r="J16" s="26">
        <f>INDEX(S$14:S$17,MATCH(3,AA$14:AA$17,0))</f>
        <v>0</v>
      </c>
      <c r="K16" s="26">
        <f>INDEX(T$14:T$17,MATCH(3,AA$14:AA$17,0))</f>
        <v>0</v>
      </c>
      <c r="L16" s="26">
        <f>INDEX(U$14:U$17,MATCH(3,AA$14:AA$17,0))</f>
        <v>1</v>
      </c>
      <c r="M16" s="26">
        <f>INDEX(V$14:V$17,MATCH(3,AA$14:AA$17,0))</f>
        <v>0</v>
      </c>
      <c r="N16" s="26">
        <f>INDEX(W$14:W$17,MATCH(3,AA$14:AA$17,0))</f>
        <v>1</v>
      </c>
      <c r="O16" s="26">
        <f>INDEX(X$14:X$17,MATCH(3,AA$14:AA$17,0))</f>
        <v>-1</v>
      </c>
      <c r="P16" s="29">
        <f>INDEX(Y$14:Y$17,MATCH(3,AA$14:AA$17,0))</f>
        <v>0</v>
      </c>
      <c r="Q16" s="9" t="str">
        <f>Q7</f>
        <v>Gana</v>
      </c>
      <c r="R16" s="9">
        <f>((D6&lt;&gt;"")*( F6&lt;&gt;""))+((D7&lt;&gt;"")*( F7&lt;&gt;""))+((D9&lt;&gt;"")*( F9&lt;&gt;""))</f>
        <v>1</v>
      </c>
      <c r="S16" s="9">
        <f>IF(AND(D6&lt;&gt;"",F6&lt;&gt;""),IF(D6&gt;F6,1,0),0)+IF(AND(D7&lt;&gt;"",F7&lt;&gt;""),IF(F7&gt;D7,1,0),0)+IF(AND(D9&lt;&gt;"",F9&lt;&gt;""),IF(F9&gt;D9,1,0),0)</f>
        <v>1</v>
      </c>
      <c r="T16" s="9">
        <f>IF(AND(D6&lt;&gt;"",F6&lt;&gt;""),IF(D6=F6,1,0),0)+IF(AND(D7&lt;&gt;"",F7&lt;&gt;""),IF(D7=F7,1,0),0)+IF(AND(D9&lt;&gt;"",F9&lt;&gt;""),IF(D9=F9,1,0),0)</f>
        <v>0</v>
      </c>
      <c r="U16" s="9">
        <f>IF(AND(D6&lt;&gt;"",F6&lt;&gt;""),IF(D6&lt;F6,1,0),0)+IF(AND(D7&lt;&gt;"",F7&lt;&gt;""),IF(F7&lt;D7,1,0),0)+IF(AND(D9&lt;&gt;"",F9&lt;&gt;""),IF(F9&lt;D9,1,0),0)</f>
        <v>0</v>
      </c>
      <c r="V16" s="9">
        <f>IF(D6="",0,D6)+IF(F7="",0,F7)+IF(F9="",0,F9)</f>
        <v>1</v>
      </c>
      <c r="W16" s="9">
        <f>IF(F6="",0,F6)+IF(D7="",0,D7)+IF(D9="",0,D9)</f>
        <v>0</v>
      </c>
      <c r="X16" s="9">
        <f>V16-W16</f>
        <v>1</v>
      </c>
      <c r="Y16" s="9">
        <f>S16*3+T16</f>
        <v>3</v>
      </c>
      <c r="Z16" s="9">
        <f>Y16*1000000+(X16+100)*10000+V16*100+2</f>
        <v>4010102</v>
      </c>
      <c r="AA16" s="9">
        <f>RANK(Z16,Z$14:Z$17,0)</f>
        <v>2</v>
      </c>
    </row>
    <row r="17" spans="1:27" ht="21.75" customHeight="1" x14ac:dyDescent="0.3">
      <c r="A17" s="30">
        <v>4</v>
      </c>
      <c r="B17" s="16" t="str">
        <f>INDEX(Q$14:Q$17,MATCH(4,AA$14:AA$17,0))</f>
        <v>Croácia</v>
      </c>
      <c r="C17" s="25"/>
      <c r="D17" s="25"/>
      <c r="E17" s="25"/>
      <c r="F17" s="25"/>
      <c r="G17" s="25"/>
      <c r="H17" s="25"/>
      <c r="I17" s="26">
        <f>INDEX(R$14:R$17,MATCH(4,AA$14:AA$17,0))</f>
        <v>1</v>
      </c>
      <c r="J17" s="26">
        <f>INDEX(S$14:S$17,MATCH(4,AA$14:AA$17,0))</f>
        <v>0</v>
      </c>
      <c r="K17" s="26">
        <f>INDEX(T$14:T$17,MATCH(4,AA$14:AA$17,0))</f>
        <v>0</v>
      </c>
      <c r="L17" s="26">
        <f>INDEX(U$14:U$17,MATCH(4,AA$14:AA$17,0))</f>
        <v>1</v>
      </c>
      <c r="M17" s="26">
        <f>INDEX(V$14:V$17,MATCH(4,AA$14:AA$17,0))</f>
        <v>2</v>
      </c>
      <c r="N17" s="26">
        <f>INDEX(W$14:W$17,MATCH(4,AA$14:AA$17,0))</f>
        <v>4</v>
      </c>
      <c r="O17" s="26">
        <f>INDEX(X$14:X$17,MATCH(4,AA$14:AA$17,0))</f>
        <v>-2</v>
      </c>
      <c r="P17" s="31">
        <f>INDEX(Y$14:Y$17,MATCH(4,AA$14:AA$17,0))</f>
        <v>0</v>
      </c>
      <c r="Q17" s="9" t="str">
        <f>Q8</f>
        <v>Panamá</v>
      </c>
      <c r="R17" s="9">
        <f>((D6&lt;&gt;"")*( F6&lt;&gt;""))+((D8&lt;&gt;"")*( F8&lt;&gt;""))+((D10&lt;&gt;"")*( F10&lt;&gt;""))</f>
        <v>1</v>
      </c>
      <c r="S17" s="9">
        <f>IF(AND(D6&lt;&gt;"",F6&lt;&gt;""),IF(F6&gt;D6,1,0),0)+IF(AND(D8&lt;&gt;"",F8&lt;&gt;""),IF(D8&gt;F8,1,0),0)+IF(AND(D10&lt;&gt;"",F10&lt;&gt;""),IF(D10&gt;F10,1,0),0)</f>
        <v>0</v>
      </c>
      <c r="T17" s="9">
        <f>IF(AND(D6&lt;&gt;"",F6&lt;&gt;""),IF(D6=F6,1,0),0)+IF(AND(D8&lt;&gt;"",F8&lt;&gt;""),IF(D8=F8,1,0),0)+IF(AND(D10&lt;&gt;"",F10&lt;&gt;""),IF(D10=F10,1,0),0)</f>
        <v>0</v>
      </c>
      <c r="U17" s="9">
        <f>IF(AND(D6&lt;&gt;"",F6&lt;&gt;""),IF(F6&lt;D6,1,0),0)+IF(AND(D8&lt;&gt;"",F8&lt;&gt;""),IF(D8&lt;F8,1,0),0)+IF(AND(D10&lt;&gt;"",F10&lt;&gt;""),IF(D10&lt;F10,1,0),0)</f>
        <v>1</v>
      </c>
      <c r="V17" s="9">
        <f>IF(F6="",0,F6)+IF(D8="",0,D8)+IF(D10="",0,D10)</f>
        <v>0</v>
      </c>
      <c r="W17" s="9">
        <f>IF(D6="",0,D6)+IF(F8="",0,F8)+IF(F10="",0,F10)</f>
        <v>1</v>
      </c>
      <c r="X17" s="9">
        <f>V17-W17</f>
        <v>-1</v>
      </c>
      <c r="Y17" s="9">
        <f>S17*3+T17</f>
        <v>0</v>
      </c>
      <c r="Z17" s="9">
        <f>Y17*1000000+(X17+100)*10000+V17*100+1</f>
        <v>990001</v>
      </c>
      <c r="AA17" s="9">
        <f>RANK(Z17,Z$14:Z$17,0)</f>
        <v>3</v>
      </c>
    </row>
    <row r="19" spans="1:27" ht="7.5" customHeight="1" x14ac:dyDescent="0.3"/>
    <row r="20" spans="1:27" ht="15.75" customHeight="1" x14ac:dyDescent="0.3">
      <c r="A20" s="73" t="s">
        <v>44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</sheetData>
  <mergeCells count="13">
    <mergeCell ref="A20:P20"/>
    <mergeCell ref="M10:P10"/>
    <mergeCell ref="I4:K4"/>
    <mergeCell ref="I7:K7"/>
    <mergeCell ref="I6:K6"/>
    <mergeCell ref="M5:P5"/>
    <mergeCell ref="I10:K10"/>
    <mergeCell ref="A1:P1"/>
    <mergeCell ref="I5:K5"/>
    <mergeCell ref="I9:K9"/>
    <mergeCell ref="I8:K8"/>
    <mergeCell ref="A12:P12"/>
    <mergeCell ref="A3:P3"/>
  </mergeCells>
  <hyperlinks>
    <hyperlink ref="M6" location="'Gr-A'!A1" display="A" xr:uid="{00000000-0004-0000-0C00-000000000000}"/>
    <hyperlink ref="N6" location="'Gr-B'!A1" display="B" xr:uid="{00000000-0004-0000-0C00-000001000000}"/>
    <hyperlink ref="O6" location="'Gr-C'!A1" display="C" xr:uid="{00000000-0004-0000-0C00-000002000000}"/>
    <hyperlink ref="P6" location="'Gr-D'!A1" display="D" xr:uid="{00000000-0004-0000-0C00-000003000000}"/>
    <hyperlink ref="M7" location="'Gr-E'!A1" display="E" xr:uid="{00000000-0004-0000-0C00-000004000000}"/>
    <hyperlink ref="N7" location="'Gr-F'!A1" display="F" xr:uid="{00000000-0004-0000-0C00-000005000000}"/>
    <hyperlink ref="O7" location="'Gr-G'!A1" display="G" xr:uid="{00000000-0004-0000-0C00-000006000000}"/>
    <hyperlink ref="P7" location="'Gr-H'!A1" display="H" xr:uid="{00000000-0004-0000-0C00-000007000000}"/>
    <hyperlink ref="M8" location="'Gr-I'!A1" display="I" xr:uid="{00000000-0004-0000-0C00-000008000000}"/>
    <hyperlink ref="N8" location="'Gr-J'!A1" display="J" xr:uid="{00000000-0004-0000-0C00-000009000000}"/>
    <hyperlink ref="O8" location="'Gr-K'!A1" display="K" xr:uid="{00000000-0004-0000-0C00-00000A000000}"/>
    <hyperlink ref="M10" r:id="rId1" xr:uid="{00000000-0004-0000-0C00-00000B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B9CDE5"/>
  </sheetPr>
  <dimension ref="A1:P32"/>
  <sheetViews>
    <sheetView showGridLines="0" topLeftCell="A17" zoomScaleNormal="100" workbookViewId="0">
      <selection activeCell="P33" sqref="P33"/>
    </sheetView>
  </sheetViews>
  <sheetFormatPr defaultColWidth="8.6640625" defaultRowHeight="14.4" x14ac:dyDescent="0.3"/>
  <cols>
    <col min="1" max="1" width="4" customWidth="1"/>
    <col min="2" max="2" width="20" customWidth="1"/>
    <col min="3" max="3" width="6" customWidth="1"/>
    <col min="4" max="6" width="5" customWidth="1"/>
    <col min="7" max="7" width="19.21875" customWidth="1"/>
    <col min="8" max="13" width="14" hidden="1" customWidth="1"/>
    <col min="14" max="14" width="7.6640625" hidden="1" customWidth="1"/>
  </cols>
  <sheetData>
    <row r="1" spans="1:16" ht="30" customHeight="1" x14ac:dyDescent="0.3">
      <c r="A1" s="80" t="s">
        <v>200</v>
      </c>
      <c r="B1" s="66"/>
      <c r="C1" s="66"/>
      <c r="D1" s="66"/>
      <c r="E1" s="66"/>
      <c r="F1" s="66"/>
      <c r="G1" s="66"/>
      <c r="P1">
        <f>COUNTA('Gr-A'!D5:D10)+COUNTA('Gr-B'!D5:D10)+COUNTA('Gr-C'!D5:D10)+COUNTA('Gr-D'!D5:D10)+COUNTA('Gr-E'!D5:D10)+COUNTA('Gr-F'!D5:D10)+COUNTA('Gr-G'!D5:D10)+COUNTA('Gr-H'!D5:D10)+COUNTA('Gr-I'!D5:D10)+COUNTA('Gr-J'!D5:D10)+COUNTA('Gr-K'!D5:D10)+COUNTA('Gr-L'!D5:D10)</f>
        <v>34</v>
      </c>
    </row>
    <row r="2" spans="1:16" ht="7.5" customHeight="1" x14ac:dyDescent="0.3"/>
    <row r="3" spans="1:16" ht="19.5" customHeight="1" x14ac:dyDescent="0.3">
      <c r="A3" s="72" t="s">
        <v>201</v>
      </c>
      <c r="B3" s="66"/>
      <c r="C3" s="66"/>
      <c r="D3" s="66"/>
      <c r="E3" s="66"/>
      <c r="F3" s="66"/>
      <c r="G3" s="66"/>
    </row>
    <row r="4" spans="1:16" ht="18" customHeight="1" x14ac:dyDescent="0.3">
      <c r="A4" s="10" t="s">
        <v>37</v>
      </c>
      <c r="B4" s="10" t="s">
        <v>38</v>
      </c>
      <c r="C4" s="10" t="s">
        <v>202</v>
      </c>
      <c r="D4" s="10" t="s">
        <v>43</v>
      </c>
      <c r="E4" s="10" t="s">
        <v>42</v>
      </c>
      <c r="F4" s="10" t="s">
        <v>40</v>
      </c>
      <c r="G4" s="10" t="s">
        <v>203</v>
      </c>
    </row>
    <row r="5" spans="1:16" ht="15" customHeight="1" x14ac:dyDescent="0.3">
      <c r="H5" t="str">
        <f>"A"</f>
        <v>A</v>
      </c>
      <c r="I5">
        <f>INDEX('Gr-A'!Y$14:Y$17,MATCH(3,'Gr-A'!AA$14:AA$17,0))</f>
        <v>1</v>
      </c>
      <c r="J5">
        <f>INDEX('Gr-A'!X$14:X$17,MATCH(3,'Gr-A'!AA$14:AA$17,0))</f>
        <v>-1</v>
      </c>
      <c r="K5">
        <f>INDEX('Gr-A'!V$14:V$17,MATCH(3,'Gr-A'!AA$14:AA$17,0))</f>
        <v>2</v>
      </c>
      <c r="L5">
        <f>I5*1000000+(J5+100)*10000+K5*100+12</f>
        <v>1990212</v>
      </c>
      <c r="M5">
        <f t="shared" ref="M5:M16" si="0">RANK(L5,L$5:L$16,0)</f>
        <v>7</v>
      </c>
      <c r="N5" t="str">
        <f>INDEX('Gr-A'!Q$14:Q$17,MATCH(3,'Gr-A'!AA$14:AA$17,0))</f>
        <v>República Tcheca</v>
      </c>
    </row>
    <row r="6" spans="1:16" ht="15" customHeight="1" x14ac:dyDescent="0.3">
      <c r="H6" t="str">
        <f>"B"</f>
        <v>B</v>
      </c>
      <c r="I6">
        <f>INDEX('Gr-B'!Y$14:Y$17,MATCH(3,'Gr-B'!AA$14:AA$17,0))</f>
        <v>1</v>
      </c>
      <c r="J6">
        <f>INDEX('Gr-B'!X$14:X$17,MATCH(3,'Gr-B'!AA$14:AA$17,0))</f>
        <v>-3</v>
      </c>
      <c r="K6">
        <f>INDEX('Gr-B'!V$14:V$17,MATCH(3,'Gr-B'!AA$14:AA$17,0))</f>
        <v>2</v>
      </c>
      <c r="L6">
        <f>I6*1000000+(J6+100)*10000+K6*100+11</f>
        <v>1970211</v>
      </c>
      <c r="M6">
        <f t="shared" si="0"/>
        <v>8</v>
      </c>
      <c r="N6" t="str">
        <f>INDEX('Gr-B'!Q$14:Q$17,MATCH(3,'Gr-B'!AA$14:AA$17,0))</f>
        <v>Bósnia-Herzegovina</v>
      </c>
    </row>
    <row r="7" spans="1:16" ht="15" customHeight="1" x14ac:dyDescent="0.3">
      <c r="H7" t="str">
        <f>"C"</f>
        <v>C</v>
      </c>
      <c r="I7">
        <f>INDEX('Gr-C'!Y$14:Y$17,MATCH(3,'Gr-C'!AA$14:AA$17,0))</f>
        <v>3</v>
      </c>
      <c r="J7">
        <f>INDEX('Gr-C'!X$14:X$17,MATCH(3,'Gr-C'!AA$14:AA$17,0))</f>
        <v>0</v>
      </c>
      <c r="K7">
        <f>INDEX('Gr-C'!V$14:V$17,MATCH(3,'Gr-C'!AA$14:AA$17,0))</f>
        <v>1</v>
      </c>
      <c r="L7">
        <f>I7*1000000+(J7+100)*10000+K7*100+10</f>
        <v>4000110</v>
      </c>
      <c r="M7">
        <f t="shared" si="0"/>
        <v>1</v>
      </c>
      <c r="N7" t="str">
        <f>INDEX('Gr-C'!Q$14:Q$17,MATCH(3,'Gr-C'!AA$14:AA$17,0))</f>
        <v>Escócia</v>
      </c>
    </row>
    <row r="8" spans="1:16" ht="15" customHeight="1" x14ac:dyDescent="0.3">
      <c r="H8" t="str">
        <f>"D"</f>
        <v>D</v>
      </c>
      <c r="I8">
        <f>INDEX('Gr-D'!Y$14:Y$17,MATCH(3,'Gr-D'!AA$14:AA$17,0))</f>
        <v>3</v>
      </c>
      <c r="J8">
        <f>INDEX('Gr-D'!X$14:X$17,MATCH(3,'Gr-D'!AA$14:AA$17,0))</f>
        <v>-2</v>
      </c>
      <c r="K8">
        <f>INDEX('Gr-D'!V$14:V$17,MATCH(3,'Gr-D'!AA$14:AA$17,0))</f>
        <v>2</v>
      </c>
      <c r="L8">
        <f>I8*1000000+(J8+100)*10000+K8*100+9</f>
        <v>3980209</v>
      </c>
      <c r="M8">
        <f t="shared" si="0"/>
        <v>2</v>
      </c>
      <c r="N8" t="str">
        <f>INDEX('Gr-D'!Q$14:Q$17,MATCH(3,'Gr-D'!AA$14:AA$17,0))</f>
        <v>Paraguai</v>
      </c>
    </row>
    <row r="9" spans="1:16" ht="15" customHeight="1" x14ac:dyDescent="0.3">
      <c r="H9" t="str">
        <f>"E"</f>
        <v>E</v>
      </c>
      <c r="I9">
        <f>INDEX('Gr-E'!Y$14:Y$17,MATCH(3,'Gr-E'!AA$14:AA$17,0))</f>
        <v>0</v>
      </c>
      <c r="J9">
        <f>INDEX('Gr-E'!X$14:X$17,MATCH(3,'Gr-E'!AA$14:AA$17,0))</f>
        <v>-1</v>
      </c>
      <c r="K9">
        <f>INDEX('Gr-E'!V$14:V$17,MATCH(3,'Gr-E'!AA$14:AA$17,0))</f>
        <v>0</v>
      </c>
      <c r="L9">
        <f>I9*1000000+(J9+100)*10000+K9*100+8</f>
        <v>990008</v>
      </c>
      <c r="M9">
        <f t="shared" si="0"/>
        <v>9</v>
      </c>
      <c r="N9" t="str">
        <f>INDEX('Gr-E'!Q$14:Q$17,MATCH(3,'Gr-E'!AA$14:AA$17,0))</f>
        <v>Equador</v>
      </c>
    </row>
    <row r="10" spans="1:16" ht="15" customHeight="1" x14ac:dyDescent="0.3">
      <c r="H10" t="str">
        <f>"F"</f>
        <v>F</v>
      </c>
      <c r="I10">
        <f>INDEX('Gr-F'!Y$14:Y$17,MATCH(3,'Gr-F'!AA$14:AA$17,0))</f>
        <v>1</v>
      </c>
      <c r="J10">
        <f>INDEX('Gr-F'!X$14:X$17,MATCH(3,'Gr-F'!AA$14:AA$17,0))</f>
        <v>0</v>
      </c>
      <c r="K10">
        <f>INDEX('Gr-F'!V$14:V$17,MATCH(3,'Gr-F'!AA$14:AA$17,0))</f>
        <v>2</v>
      </c>
      <c r="L10">
        <f>I10*1000000+(J10+100)*10000+K10*100+7</f>
        <v>2000207</v>
      </c>
      <c r="M10">
        <f t="shared" si="0"/>
        <v>3</v>
      </c>
      <c r="N10" t="str">
        <f>INDEX('Gr-F'!Q$14:Q$17,MATCH(3,'Gr-F'!AA$14:AA$17,0))</f>
        <v>Japão</v>
      </c>
    </row>
    <row r="11" spans="1:16" ht="15" customHeight="1" x14ac:dyDescent="0.3">
      <c r="H11" t="str">
        <f>"G"</f>
        <v>G</v>
      </c>
      <c r="I11">
        <f>INDEX('Gr-G'!Y$14:Y$17,MATCH(3,'Gr-G'!AA$14:AA$17,0))</f>
        <v>1</v>
      </c>
      <c r="J11">
        <f>INDEX('Gr-G'!X$14:X$17,MATCH(3,'Gr-G'!AA$14:AA$17,0))</f>
        <v>0</v>
      </c>
      <c r="K11">
        <f>INDEX('Gr-G'!V$14:V$17,MATCH(3,'Gr-G'!AA$14:AA$17,0))</f>
        <v>1</v>
      </c>
      <c r="L11">
        <f>I11*1000000+(J11+100)*10000+K11*100+6</f>
        <v>2000106</v>
      </c>
      <c r="M11">
        <f t="shared" si="0"/>
        <v>4</v>
      </c>
      <c r="N11" t="str">
        <f>INDEX('Gr-G'!Q$14:Q$17,MATCH(3,'Gr-G'!AA$14:AA$17,0))</f>
        <v>Bélgica</v>
      </c>
    </row>
    <row r="12" spans="1:16" ht="15" customHeight="1" x14ac:dyDescent="0.3">
      <c r="H12" t="str">
        <f>"H"</f>
        <v>H</v>
      </c>
      <c r="I12">
        <f>INDEX('Gr-H'!Y$14:Y$17,MATCH(3,'Gr-H'!AA$14:AA$17,0))</f>
        <v>1</v>
      </c>
      <c r="J12">
        <f>INDEX('Gr-H'!X$14:X$17,MATCH(3,'Gr-H'!AA$14:AA$17,0))</f>
        <v>0</v>
      </c>
      <c r="K12">
        <f>INDEX('Gr-H'!V$14:V$17,MATCH(3,'Gr-H'!AA$14:AA$17,0))</f>
        <v>0</v>
      </c>
      <c r="L12">
        <f>I12*1000000+(J12+100)*10000+K12*100+5</f>
        <v>2000005</v>
      </c>
      <c r="M12">
        <f t="shared" si="0"/>
        <v>6</v>
      </c>
      <c r="N12" t="str">
        <f>INDEX('Gr-H'!Q$14:Q$17,MATCH(3,'Gr-H'!AA$14:AA$17,0))</f>
        <v>Espanha</v>
      </c>
    </row>
    <row r="13" spans="1:16" ht="15" customHeight="1" x14ac:dyDescent="0.3">
      <c r="H13" t="str">
        <f>"I"</f>
        <v>I</v>
      </c>
      <c r="I13">
        <f>INDEX('Gr-I'!Y$14:Y$17,MATCH(3,'Gr-I'!AA$14:AA$17,0))</f>
        <v>0</v>
      </c>
      <c r="J13">
        <f>INDEX('Gr-I'!X$14:X$17,MATCH(3,'Gr-I'!AA$14:AA$17,0))</f>
        <v>-2</v>
      </c>
      <c r="K13">
        <f>INDEX('Gr-I'!V$14:V$17,MATCH(3,'Gr-I'!AA$14:AA$17,0))</f>
        <v>1</v>
      </c>
      <c r="L13">
        <f>I13*1000000+(J13+100)*10000+K13*100+4</f>
        <v>980104</v>
      </c>
      <c r="M13">
        <f t="shared" si="0"/>
        <v>11</v>
      </c>
      <c r="N13" t="str">
        <f>INDEX('Gr-I'!Q$14:Q$17,MATCH(3,'Gr-I'!AA$14:AA$17,0))</f>
        <v>Senegal</v>
      </c>
    </row>
    <row r="14" spans="1:16" ht="15" customHeight="1" x14ac:dyDescent="0.3">
      <c r="H14" t="str">
        <f>"J"</f>
        <v>J</v>
      </c>
      <c r="I14">
        <f>INDEX('Gr-J'!Y$14:Y$17,MATCH(3,'Gr-J'!AA$14:AA$17,0))</f>
        <v>0</v>
      </c>
      <c r="J14">
        <f>INDEX('Gr-J'!X$14:X$17,MATCH(3,'Gr-J'!AA$14:AA$17,0))</f>
        <v>-2</v>
      </c>
      <c r="K14">
        <f>INDEX('Gr-J'!V$14:V$17,MATCH(3,'Gr-J'!AA$14:AA$17,0))</f>
        <v>1</v>
      </c>
      <c r="L14">
        <f>I14*1000000+(J14+100)*10000+K14*100+3</f>
        <v>980103</v>
      </c>
      <c r="M14">
        <f t="shared" si="0"/>
        <v>12</v>
      </c>
      <c r="N14" t="str">
        <f>INDEX('Gr-J'!Q$14:Q$17,MATCH(3,'Gr-J'!AA$14:AA$17,0))</f>
        <v>Jordânia</v>
      </c>
    </row>
    <row r="15" spans="1:16" ht="15" customHeight="1" x14ac:dyDescent="0.3">
      <c r="H15" t="str">
        <f>"K"</f>
        <v>K</v>
      </c>
      <c r="I15">
        <f>INDEX('Gr-K'!Y$14:Y$17,MATCH(3,'Gr-K'!AA$14:AA$17,0))</f>
        <v>1</v>
      </c>
      <c r="J15">
        <f>INDEX('Gr-K'!X$14:X$17,MATCH(3,'Gr-K'!AA$14:AA$17,0))</f>
        <v>0</v>
      </c>
      <c r="K15">
        <f>INDEX('Gr-K'!V$14:V$17,MATCH(3,'Gr-K'!AA$14:AA$17,0))</f>
        <v>1</v>
      </c>
      <c r="L15">
        <f>I15*1000000+(J15+100)*10000+K15*100+2</f>
        <v>2000102</v>
      </c>
      <c r="M15">
        <f t="shared" si="0"/>
        <v>5</v>
      </c>
      <c r="N15" t="str">
        <f>INDEX('Gr-K'!Q$14:Q$17,MATCH(3,'Gr-K'!AA$14:AA$17,0))</f>
        <v>RD Congo</v>
      </c>
    </row>
    <row r="16" spans="1:16" ht="15" customHeight="1" x14ac:dyDescent="0.3">
      <c r="H16" t="str">
        <f>"L"</f>
        <v>L</v>
      </c>
      <c r="I16">
        <f>INDEX('Gr-L'!Y$14:Y$17,MATCH(3,'Gr-L'!AA$14:AA$17,0))</f>
        <v>0</v>
      </c>
      <c r="J16">
        <f>INDEX('Gr-L'!X$14:X$17,MATCH(3,'Gr-L'!AA$14:AA$17,0))</f>
        <v>-1</v>
      </c>
      <c r="K16">
        <f>INDEX('Gr-L'!V$14:V$17,MATCH(3,'Gr-L'!AA$14:AA$17,0))</f>
        <v>0</v>
      </c>
      <c r="L16">
        <f>I16*1000000+(J16+100)*10000+K16*100+1</f>
        <v>990001</v>
      </c>
      <c r="M16">
        <f t="shared" si="0"/>
        <v>10</v>
      </c>
      <c r="N16" t="str">
        <f>INDEX('Gr-L'!Q$14:Q$17,MATCH(3,'Gr-L'!AA$14:AA$17,0))</f>
        <v>Panamá</v>
      </c>
    </row>
    <row r="18" spans="1:7" ht="7.5" customHeight="1" x14ac:dyDescent="0.3"/>
    <row r="19" spans="1:7" ht="19.5" customHeight="1" x14ac:dyDescent="0.3">
      <c r="A19" s="72" t="s">
        <v>204</v>
      </c>
      <c r="B19" s="66"/>
      <c r="C19" s="66"/>
      <c r="D19" s="66"/>
      <c r="E19" s="66"/>
      <c r="F19" s="66"/>
      <c r="G19" s="66"/>
    </row>
    <row r="20" spans="1:7" ht="18" customHeight="1" x14ac:dyDescent="0.3">
      <c r="A20" s="10" t="s">
        <v>37</v>
      </c>
      <c r="B20" s="10" t="s">
        <v>38</v>
      </c>
      <c r="C20" s="10" t="s">
        <v>202</v>
      </c>
      <c r="D20" s="10" t="s">
        <v>43</v>
      </c>
      <c r="E20" s="10" t="s">
        <v>42</v>
      </c>
      <c r="F20" s="10" t="s">
        <v>40</v>
      </c>
      <c r="G20" s="10" t="s">
        <v>203</v>
      </c>
    </row>
    <row r="21" spans="1:7" ht="21.75" customHeight="1" x14ac:dyDescent="0.3">
      <c r="A21" s="33">
        <v>1</v>
      </c>
      <c r="B21" s="16" t="str">
        <f>INDEX(N$5:N$16,MATCH(1,M$5:M$16,0))</f>
        <v>Escócia</v>
      </c>
      <c r="C21" s="26" t="str">
        <f>INDEX(H$5:H$16,MATCH(1,M$5:M$16,0))</f>
        <v>C</v>
      </c>
      <c r="D21" s="33">
        <f>INDEX(I$5:I$16,MATCH(1,M$5:M$16,0))</f>
        <v>3</v>
      </c>
      <c r="E21" s="26">
        <f>INDEX(J$5:J$16,MATCH(1,M$5:M$16,0))</f>
        <v>0</v>
      </c>
      <c r="F21" s="26">
        <f>INDEX(K$5:K$16,MATCH(1,M$5:M$16,0))</f>
        <v>1</v>
      </c>
      <c r="G21" s="34" t="s">
        <v>205</v>
      </c>
    </row>
    <row r="22" spans="1:7" ht="21.75" customHeight="1" x14ac:dyDescent="0.3">
      <c r="A22" s="33">
        <v>2</v>
      </c>
      <c r="B22" s="16" t="str">
        <f>INDEX(N$5:N$16,MATCH(2,M$5:M$16,0))</f>
        <v>Paraguai</v>
      </c>
      <c r="C22" s="26" t="str">
        <f>INDEX(H$5:H$16,MATCH(2,M$5:M$16,0))</f>
        <v>D</v>
      </c>
      <c r="D22" s="33">
        <f>INDEX(I$5:I$16,MATCH(2,M$5:M$16,0))</f>
        <v>3</v>
      </c>
      <c r="E22" s="26">
        <f>INDEX(J$5:J$16,MATCH(2,M$5:M$16,0))</f>
        <v>-2</v>
      </c>
      <c r="F22" s="26">
        <f>INDEX(K$5:K$16,MATCH(2,M$5:M$16,0))</f>
        <v>2</v>
      </c>
      <c r="G22" s="34" t="s">
        <v>205</v>
      </c>
    </row>
    <row r="23" spans="1:7" ht="21.75" customHeight="1" x14ac:dyDescent="0.3">
      <c r="A23" s="33">
        <v>3</v>
      </c>
      <c r="B23" s="16" t="str">
        <f>INDEX(N$5:N$16,MATCH(3,M$5:M$16,0))</f>
        <v>Japão</v>
      </c>
      <c r="C23" s="26" t="str">
        <f>INDEX(H$5:H$16,MATCH(3,M$5:M$16,0))</f>
        <v>F</v>
      </c>
      <c r="D23" s="33">
        <f>INDEX(I$5:I$16,MATCH(3,M$5:M$16,0))</f>
        <v>1</v>
      </c>
      <c r="E23" s="26">
        <f>INDEX(J$5:J$16,MATCH(3,M$5:M$16,0))</f>
        <v>0</v>
      </c>
      <c r="F23" s="26">
        <f>INDEX(K$5:K$16,MATCH(3,M$5:M$16,0))</f>
        <v>2</v>
      </c>
      <c r="G23" s="34" t="s">
        <v>205</v>
      </c>
    </row>
    <row r="24" spans="1:7" ht="21.75" customHeight="1" x14ac:dyDescent="0.3">
      <c r="A24" s="33">
        <v>4</v>
      </c>
      <c r="B24" s="16" t="str">
        <f>INDEX(N$5:N$16,MATCH(4,M$5:M$16,0))</f>
        <v>Bélgica</v>
      </c>
      <c r="C24" s="26" t="str">
        <f>INDEX(H$5:H$16,MATCH(4,M$5:M$16,0))</f>
        <v>G</v>
      </c>
      <c r="D24" s="33">
        <f>INDEX(I$5:I$16,MATCH(4,M$5:M$16,0))</f>
        <v>1</v>
      </c>
      <c r="E24" s="26">
        <f>INDEX(J$5:J$16,MATCH(4,M$5:M$16,0))</f>
        <v>0</v>
      </c>
      <c r="F24" s="26">
        <f>INDEX(K$5:K$16,MATCH(4,M$5:M$16,0))</f>
        <v>1</v>
      </c>
      <c r="G24" s="34" t="s">
        <v>205</v>
      </c>
    </row>
    <row r="25" spans="1:7" ht="21.75" customHeight="1" x14ac:dyDescent="0.3">
      <c r="A25" s="33">
        <v>5</v>
      </c>
      <c r="B25" s="16" t="str">
        <f>INDEX(N$5:N$16,MATCH(5,M$5:M$16,0))</f>
        <v>RD Congo</v>
      </c>
      <c r="C25" s="26" t="str">
        <f>INDEX(H$5:H$16,MATCH(5,M$5:M$16,0))</f>
        <v>K</v>
      </c>
      <c r="D25" s="33">
        <f>INDEX(I$5:I$16,MATCH(5,M$5:M$16,0))</f>
        <v>1</v>
      </c>
      <c r="E25" s="26">
        <f>INDEX(J$5:J$16,MATCH(5,M$5:M$16,0))</f>
        <v>0</v>
      </c>
      <c r="F25" s="26">
        <f>INDEX(K$5:K$16,MATCH(5,M$5:M$16,0))</f>
        <v>1</v>
      </c>
      <c r="G25" s="34" t="s">
        <v>205</v>
      </c>
    </row>
    <row r="26" spans="1:7" ht="21.75" customHeight="1" x14ac:dyDescent="0.3">
      <c r="A26" s="33">
        <v>6</v>
      </c>
      <c r="B26" s="16" t="str">
        <f>INDEX(N$5:N$16,MATCH(6,M$5:M$16,0))</f>
        <v>Espanha</v>
      </c>
      <c r="C26" s="26" t="str">
        <f>INDEX(H$5:H$16,MATCH(6,M$5:M$16,0))</f>
        <v>H</v>
      </c>
      <c r="D26" s="33">
        <f>INDEX(I$5:I$16,MATCH(6,M$5:M$16,0))</f>
        <v>1</v>
      </c>
      <c r="E26" s="26">
        <f>INDEX(J$5:J$16,MATCH(6,M$5:M$16,0))</f>
        <v>0</v>
      </c>
      <c r="F26" s="26">
        <f>INDEX(K$5:K$16,MATCH(6,M$5:M$16,0))</f>
        <v>0</v>
      </c>
      <c r="G26" s="34" t="s">
        <v>205</v>
      </c>
    </row>
    <row r="27" spans="1:7" ht="21.75" customHeight="1" x14ac:dyDescent="0.3">
      <c r="A27" s="33">
        <v>7</v>
      </c>
      <c r="B27" s="16" t="str">
        <f>INDEX(N$5:N$16,MATCH(7,M$5:M$16,0))</f>
        <v>República Tcheca</v>
      </c>
      <c r="C27" s="26" t="str">
        <f>INDEX(H$5:H$16,MATCH(7,M$5:M$16,0))</f>
        <v>A</v>
      </c>
      <c r="D27" s="33">
        <f>INDEX(I$5:I$16,MATCH(7,M$5:M$16,0))</f>
        <v>1</v>
      </c>
      <c r="E27" s="26">
        <f>INDEX(J$5:J$16,MATCH(7,M$5:M$16,0))</f>
        <v>-1</v>
      </c>
      <c r="F27" s="26">
        <f>INDEX(K$5:K$16,MATCH(7,M$5:M$16,0))</f>
        <v>2</v>
      </c>
      <c r="G27" s="34" t="s">
        <v>205</v>
      </c>
    </row>
    <row r="28" spans="1:7" ht="21.75" customHeight="1" x14ac:dyDescent="0.3">
      <c r="A28" s="33">
        <v>8</v>
      </c>
      <c r="B28" s="16" t="str">
        <f>INDEX(N$5:N$16,MATCH(8,M$5:M$16,0))</f>
        <v>Bósnia-Herzegovina</v>
      </c>
      <c r="C28" s="26" t="str">
        <f>INDEX(H$5:H$16,MATCH(8,M$5:M$16,0))</f>
        <v>B</v>
      </c>
      <c r="D28" s="33">
        <f>INDEX(I$5:I$16,MATCH(8,M$5:M$16,0))</f>
        <v>1</v>
      </c>
      <c r="E28" s="26">
        <f>INDEX(J$5:J$16,MATCH(8,M$5:M$16,0))</f>
        <v>-3</v>
      </c>
      <c r="F28" s="26">
        <f>INDEX(K$5:K$16,MATCH(8,M$5:M$16,0))</f>
        <v>2</v>
      </c>
      <c r="G28" s="34" t="s">
        <v>205</v>
      </c>
    </row>
    <row r="29" spans="1:7" ht="21.75" customHeight="1" x14ac:dyDescent="0.3">
      <c r="A29" s="35">
        <v>9</v>
      </c>
      <c r="B29" s="16" t="str">
        <f>INDEX(N$5:N$16,MATCH(9,M$5:M$16,0))</f>
        <v>Equador</v>
      </c>
      <c r="C29" s="26" t="str">
        <f>INDEX(H$5:H$16,MATCH(9,M$5:M$16,0))</f>
        <v>E</v>
      </c>
      <c r="D29" s="35">
        <f>INDEX(I$5:I$16,MATCH(9,M$5:M$16,0))</f>
        <v>0</v>
      </c>
      <c r="E29" s="26">
        <f>INDEX(J$5:J$16,MATCH(9,M$5:M$16,0))</f>
        <v>-1</v>
      </c>
      <c r="F29" s="26">
        <f>INDEX(K$5:K$16,MATCH(9,M$5:M$16,0))</f>
        <v>0</v>
      </c>
      <c r="G29" s="36" t="s">
        <v>206</v>
      </c>
    </row>
    <row r="30" spans="1:7" ht="21.75" customHeight="1" x14ac:dyDescent="0.3">
      <c r="A30" s="35">
        <v>10</v>
      </c>
      <c r="B30" s="16" t="str">
        <f>INDEX(N$5:N$16,MATCH(10,M$5:M$16,0))</f>
        <v>Panamá</v>
      </c>
      <c r="C30" s="26" t="str">
        <f>INDEX(H$5:H$16,MATCH(10,M$5:M$16,0))</f>
        <v>L</v>
      </c>
      <c r="D30" s="35">
        <f>INDEX(I$5:I$16,MATCH(10,M$5:M$16,0))</f>
        <v>0</v>
      </c>
      <c r="E30" s="26">
        <f>INDEX(J$5:J$16,MATCH(10,M$5:M$16,0))</f>
        <v>-1</v>
      </c>
      <c r="F30" s="26">
        <f>INDEX(K$5:K$16,MATCH(10,M$5:M$16,0))</f>
        <v>0</v>
      </c>
      <c r="G30" s="36" t="s">
        <v>206</v>
      </c>
    </row>
    <row r="31" spans="1:7" ht="21.75" customHeight="1" x14ac:dyDescent="0.3">
      <c r="A31" s="35">
        <v>11</v>
      </c>
      <c r="B31" s="16" t="str">
        <f>INDEX(N$5:N$16,MATCH(11,M$5:M$16,0))</f>
        <v>Senegal</v>
      </c>
      <c r="C31" s="26" t="str">
        <f>INDEX(H$5:H$16,MATCH(11,M$5:M$16,0))</f>
        <v>I</v>
      </c>
      <c r="D31" s="35">
        <f>INDEX(I$5:I$16,MATCH(11,M$5:M$16,0))</f>
        <v>0</v>
      </c>
      <c r="E31" s="26">
        <f>INDEX(J$5:J$16,MATCH(11,M$5:M$16,0))</f>
        <v>-2</v>
      </c>
      <c r="F31" s="26">
        <f>INDEX(K$5:K$16,MATCH(11,M$5:M$16,0))</f>
        <v>1</v>
      </c>
      <c r="G31" s="36" t="s">
        <v>206</v>
      </c>
    </row>
    <row r="32" spans="1:7" ht="21.75" customHeight="1" x14ac:dyDescent="0.3">
      <c r="A32" s="35">
        <v>12</v>
      </c>
      <c r="B32" s="16" t="str">
        <f>INDEX(N$5:N$16,MATCH(12,M$5:M$16,0))</f>
        <v>Jordânia</v>
      </c>
      <c r="C32" s="26" t="str">
        <f>INDEX(H$5:H$16,MATCH(12,M$5:M$16,0))</f>
        <v>J</v>
      </c>
      <c r="D32" s="35">
        <f>INDEX(I$5:I$16,MATCH(12,M$5:M$16,0))</f>
        <v>0</v>
      </c>
      <c r="E32" s="26">
        <f>INDEX(J$5:J$16,MATCH(12,M$5:M$16,0))</f>
        <v>-2</v>
      </c>
      <c r="F32" s="26">
        <f>INDEX(K$5:K$16,MATCH(12,M$5:M$16,0))</f>
        <v>1</v>
      </c>
      <c r="G32" s="36" t="s">
        <v>206</v>
      </c>
    </row>
  </sheetData>
  <mergeCells count="3">
    <mergeCell ref="A3:G3"/>
    <mergeCell ref="A19:G19"/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S52"/>
  <sheetViews>
    <sheetView showGridLines="0" zoomScaleNormal="100" workbookViewId="0">
      <selection activeCell="U9" sqref="U9"/>
    </sheetView>
  </sheetViews>
  <sheetFormatPr defaultColWidth="8.6640625" defaultRowHeight="14.4" x14ac:dyDescent="0.3"/>
  <cols>
    <col min="1" max="1" width="11.21875" customWidth="1"/>
    <col min="2" max="2" width="9.77734375" bestFit="1" customWidth="1"/>
    <col min="3" max="3" width="20" customWidth="1"/>
    <col min="4" max="4" width="2" customWidth="1"/>
    <col min="5" max="5" width="5" customWidth="1"/>
    <col min="6" max="6" width="2" customWidth="1"/>
    <col min="7" max="7" width="5" customWidth="1"/>
    <col min="8" max="8" width="2" customWidth="1"/>
    <col min="9" max="9" width="20" customWidth="1"/>
    <col min="10" max="10" width="3" customWidth="1"/>
    <col min="11" max="11" width="5" customWidth="1"/>
    <col min="12" max="12" width="2" customWidth="1"/>
    <col min="13" max="13" width="5" customWidth="1"/>
    <col min="14" max="14" width="3" customWidth="1"/>
    <col min="15" max="16" width="4" customWidth="1"/>
    <col min="17" max="17" width="26.6640625" customWidth="1"/>
    <col min="18" max="18" width="18.88671875" customWidth="1"/>
  </cols>
  <sheetData>
    <row r="1" spans="1:19" ht="31.5" customHeight="1" x14ac:dyDescent="0.3">
      <c r="A1" s="57"/>
      <c r="B1" s="67" t="s">
        <v>207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57"/>
    </row>
    <row r="2" spans="1:19" ht="7.5" customHeight="1" x14ac:dyDescent="0.3">
      <c r="B2" s="9" t="s">
        <v>35</v>
      </c>
    </row>
    <row r="3" spans="1:19" ht="21.75" customHeight="1" x14ac:dyDescent="0.3">
      <c r="A3" s="55"/>
      <c r="B3" s="82" t="s">
        <v>208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5"/>
      <c r="S3" s="56"/>
    </row>
    <row r="4" spans="1:19" ht="15.75" customHeight="1" x14ac:dyDescent="0.3">
      <c r="A4" s="37" t="s">
        <v>255</v>
      </c>
      <c r="B4" s="37" t="s">
        <v>209</v>
      </c>
      <c r="C4" s="37" t="s">
        <v>210</v>
      </c>
      <c r="E4" s="37" t="s">
        <v>211</v>
      </c>
      <c r="G4" s="37" t="s">
        <v>211</v>
      </c>
      <c r="I4" s="37" t="s">
        <v>212</v>
      </c>
      <c r="K4" s="37" t="s">
        <v>213</v>
      </c>
      <c r="M4" s="37" t="s">
        <v>213</v>
      </c>
      <c r="O4" s="37" t="s">
        <v>214</v>
      </c>
      <c r="P4" s="37" t="s">
        <v>214</v>
      </c>
      <c r="Q4" s="37" t="s">
        <v>215</v>
      </c>
      <c r="R4" s="37" t="s">
        <v>7</v>
      </c>
    </row>
    <row r="5" spans="1:19" ht="24" customHeight="1" x14ac:dyDescent="0.3">
      <c r="A5" s="11"/>
      <c r="B5" s="11" t="s">
        <v>216</v>
      </c>
      <c r="C5" s="12" t="str">
        <f>IF(COUNTA('Gr-E'!D5:D10)=6,INDEX('Gr-E'!Q$14:Q$17,MATCH(1,'Gr-E'!AA$14:AA$17,0)),"1º Gr-E")</f>
        <v>1º Gr-E</v>
      </c>
      <c r="D5" s="25"/>
      <c r="E5" s="14"/>
      <c r="F5" s="15" t="s">
        <v>9</v>
      </c>
      <c r="G5" s="14"/>
      <c r="H5" s="25"/>
      <c r="I5" s="16" t="str">
        <f>IF(Respecagem!P1=72,INDEX(Respecagem!N$5:N$16,MATCH(1,Respecagem!M$5:M$16,0)),"Melhor 3º #1")</f>
        <v>Melhor 3º #1</v>
      </c>
      <c r="J5" s="11" t="s">
        <v>217</v>
      </c>
      <c r="K5" s="38"/>
      <c r="L5" s="39" t="s">
        <v>9</v>
      </c>
      <c r="M5" s="38"/>
      <c r="N5" s="11" t="s">
        <v>217</v>
      </c>
      <c r="O5" s="40"/>
      <c r="P5" s="40"/>
      <c r="Q5" s="41" t="str">
        <f t="shared" ref="Q5:Q20" si="0">IF(OR(E5="",G5=""),"",IF(E5&gt;G5,C5,IF(E5&lt;G5,I5,IF(AND(K5&lt;&gt;"",M5&lt;&gt;""),IF(K5&gt;M5,C5,IF(K5&lt;M5,I5,IF(AND(O5&lt;&gt;"",P5&lt;&gt;""),IF(O5&gt;=P5,C5,I5),"Pênaltis pendentes"))),"Prorrogação pendente"))))</f>
        <v/>
      </c>
      <c r="R5" s="11"/>
    </row>
    <row r="6" spans="1:19" ht="24" customHeight="1" x14ac:dyDescent="0.3">
      <c r="A6" s="17"/>
      <c r="B6" s="17" t="s">
        <v>218</v>
      </c>
      <c r="C6" s="18" t="str">
        <f>IF(COUNTA('Gr-I'!D5:D10)=6,INDEX('Gr-I'!Q$14:Q$17,MATCH(1,'Gr-I'!AA$14:AA$17,0)),"1º Gr-I")</f>
        <v>1º Gr-I</v>
      </c>
      <c r="D6" s="42"/>
      <c r="E6" s="14"/>
      <c r="F6" s="20" t="s">
        <v>9</v>
      </c>
      <c r="G6" s="14"/>
      <c r="H6" s="42"/>
      <c r="I6" s="21" t="str">
        <f>IF(Respecagem!P1=72,INDEX(Respecagem!N$5:N$16,MATCH(2,Respecagem!M$5:M$16,0)),"Melhor 3º #2")</f>
        <v>Melhor 3º #2</v>
      </c>
      <c r="J6" s="17" t="s">
        <v>217</v>
      </c>
      <c r="K6" s="38"/>
      <c r="L6" s="39" t="s">
        <v>9</v>
      </c>
      <c r="M6" s="38"/>
      <c r="N6" s="17" t="s">
        <v>217</v>
      </c>
      <c r="O6" s="40"/>
      <c r="P6" s="40"/>
      <c r="Q6" s="41" t="str">
        <f t="shared" si="0"/>
        <v/>
      </c>
      <c r="R6" s="17"/>
    </row>
    <row r="7" spans="1:19" ht="24" customHeight="1" x14ac:dyDescent="0.3">
      <c r="A7" s="11"/>
      <c r="B7" s="11" t="s">
        <v>219</v>
      </c>
      <c r="C7" s="12" t="str">
        <f>IF(COUNTA('Gr-A'!D5:D10)=6,INDEX('Gr-A'!Q$14:Q$17,MATCH(2,'Gr-A'!AA$14:AA$17,0)),"2º Gr-A")</f>
        <v>2º Gr-A</v>
      </c>
      <c r="D7" s="25"/>
      <c r="E7" s="14"/>
      <c r="F7" s="15" t="s">
        <v>9</v>
      </c>
      <c r="G7" s="14"/>
      <c r="H7" s="25"/>
      <c r="I7" s="16" t="str">
        <f>IF(COUNTA('Gr-B'!D5:D10)=6,INDEX('Gr-B'!Q$14:Q$17,MATCH(2,'Gr-B'!AA$14:AA$17,0)),"2º Gr-B")</f>
        <v>2º Gr-B</v>
      </c>
      <c r="J7" s="11" t="s">
        <v>217</v>
      </c>
      <c r="K7" s="38"/>
      <c r="L7" s="39" t="s">
        <v>9</v>
      </c>
      <c r="M7" s="38"/>
      <c r="N7" s="11" t="s">
        <v>217</v>
      </c>
      <c r="O7" s="40"/>
      <c r="P7" s="40"/>
      <c r="Q7" s="41" t="str">
        <f t="shared" si="0"/>
        <v/>
      </c>
      <c r="R7" s="11"/>
    </row>
    <row r="8" spans="1:19" ht="24" customHeight="1" x14ac:dyDescent="0.3">
      <c r="A8" s="17"/>
      <c r="B8" s="17" t="s">
        <v>220</v>
      </c>
      <c r="C8" s="18" t="str">
        <f>IF(COUNTA('Gr-F'!D5:D10)=6,INDEX('Gr-F'!Q$14:Q$17,MATCH(1,'Gr-F'!AA$14:AA$17,0)),"1º Gr-F")</f>
        <v>1º Gr-F</v>
      </c>
      <c r="D8" s="42"/>
      <c r="E8" s="14"/>
      <c r="F8" s="20" t="s">
        <v>9</v>
      </c>
      <c r="G8" s="14"/>
      <c r="H8" s="42"/>
      <c r="I8" s="21" t="str">
        <f>IF(COUNTA('Gr-C'!D5:D10)=6,INDEX('Gr-C'!Q$14:Q$17,MATCH(2,'Gr-C'!AA$14:AA$17,0)),"2º Gr-C")</f>
        <v>2º Gr-C</v>
      </c>
      <c r="J8" s="17" t="s">
        <v>217</v>
      </c>
      <c r="K8" s="38"/>
      <c r="L8" s="39" t="s">
        <v>9</v>
      </c>
      <c r="M8" s="38"/>
      <c r="N8" s="17" t="s">
        <v>217</v>
      </c>
      <c r="O8" s="40"/>
      <c r="P8" s="40"/>
      <c r="Q8" s="41" t="str">
        <f t="shared" si="0"/>
        <v/>
      </c>
      <c r="R8" s="17"/>
    </row>
    <row r="9" spans="1:19" ht="24" customHeight="1" x14ac:dyDescent="0.3">
      <c r="A9" s="11"/>
      <c r="B9" s="11" t="s">
        <v>221</v>
      </c>
      <c r="C9" s="12" t="str">
        <f>IF(COUNTA('Gr-K'!D5:D10)=6,INDEX('Gr-K'!Q$14:Q$17,MATCH(2,'Gr-K'!AA$14:AA$17,0)),"2º Gr-K")</f>
        <v>2º Gr-K</v>
      </c>
      <c r="D9" s="25"/>
      <c r="E9" s="14"/>
      <c r="F9" s="15" t="s">
        <v>9</v>
      </c>
      <c r="G9" s="14"/>
      <c r="H9" s="25"/>
      <c r="I9" s="16" t="str">
        <f>IF(COUNTA('Gr-L'!D5:D10)=6,INDEX('Gr-L'!Q$14:Q$17,MATCH(2,'Gr-L'!AA$14:AA$17,0)),"2º Gr-L")</f>
        <v>2º Gr-L</v>
      </c>
      <c r="J9" s="11" t="s">
        <v>217</v>
      </c>
      <c r="K9" s="38"/>
      <c r="L9" s="39" t="s">
        <v>9</v>
      </c>
      <c r="M9" s="38"/>
      <c r="N9" s="11" t="s">
        <v>217</v>
      </c>
      <c r="O9" s="40"/>
      <c r="P9" s="40"/>
      <c r="Q9" s="41" t="str">
        <f t="shared" si="0"/>
        <v/>
      </c>
      <c r="R9" s="11"/>
    </row>
    <row r="10" spans="1:19" ht="24" customHeight="1" x14ac:dyDescent="0.3">
      <c r="A10" s="17"/>
      <c r="B10" s="17" t="s">
        <v>222</v>
      </c>
      <c r="C10" s="18" t="str">
        <f>IF(COUNTA('Gr-H'!D5:D10)=6,INDEX('Gr-H'!Q$14:Q$17,MATCH(1,'Gr-H'!AA$14:AA$17,0)),"1º Gr-H")</f>
        <v>1º Gr-H</v>
      </c>
      <c r="D10" s="42"/>
      <c r="E10" s="14"/>
      <c r="F10" s="20" t="s">
        <v>9</v>
      </c>
      <c r="G10" s="14"/>
      <c r="H10" s="42"/>
      <c r="I10" s="21" t="str">
        <f>IF(COUNTA('Gr-J'!D5:D10)=6,INDEX('Gr-J'!Q$14:Q$17,MATCH(2,'Gr-J'!AA$14:AA$17,0)),"2º Gr-J")</f>
        <v>2º Gr-J</v>
      </c>
      <c r="J10" s="17" t="s">
        <v>217</v>
      </c>
      <c r="K10" s="38"/>
      <c r="L10" s="39" t="s">
        <v>9</v>
      </c>
      <c r="M10" s="38"/>
      <c r="N10" s="17" t="s">
        <v>217</v>
      </c>
      <c r="O10" s="40"/>
      <c r="P10" s="40"/>
      <c r="Q10" s="41" t="str">
        <f t="shared" si="0"/>
        <v/>
      </c>
      <c r="R10" s="17"/>
    </row>
    <row r="11" spans="1:19" ht="24" customHeight="1" x14ac:dyDescent="0.3">
      <c r="A11" s="11"/>
      <c r="B11" s="11" t="s">
        <v>223</v>
      </c>
      <c r="C11" s="12" t="str">
        <f>IF(COUNTA('Gr-D'!D5:D10)=6,INDEX('Gr-D'!Q$14:Q$17,MATCH(1,'Gr-D'!AA$14:AA$17,0)),"1º Gr-D")</f>
        <v>1º Gr-D</v>
      </c>
      <c r="D11" s="25"/>
      <c r="E11" s="14"/>
      <c r="F11" s="15" t="s">
        <v>9</v>
      </c>
      <c r="G11" s="14"/>
      <c r="H11" s="25"/>
      <c r="I11" s="16" t="str">
        <f>IF(Respecagem!P1=72,INDEX(Respecagem!N$5:N$16,MATCH(3,Respecagem!M$5:M$16,0)),"Melhor 3º #3")</f>
        <v>Melhor 3º #3</v>
      </c>
      <c r="J11" s="11" t="s">
        <v>217</v>
      </c>
      <c r="K11" s="38"/>
      <c r="L11" s="39" t="s">
        <v>9</v>
      </c>
      <c r="M11" s="38"/>
      <c r="N11" s="11" t="s">
        <v>217</v>
      </c>
      <c r="O11" s="40"/>
      <c r="P11" s="40"/>
      <c r="Q11" s="41" t="str">
        <f t="shared" si="0"/>
        <v/>
      </c>
      <c r="R11" s="11"/>
    </row>
    <row r="12" spans="1:19" ht="24" customHeight="1" x14ac:dyDescent="0.3">
      <c r="A12" s="17"/>
      <c r="B12" s="17" t="s">
        <v>224</v>
      </c>
      <c r="C12" s="18" t="str">
        <f>IF(COUNTA('Gr-G'!D5:D10)=6,INDEX('Gr-G'!Q$14:Q$17,MATCH(1,'Gr-G'!AA$14:AA$17,0)),"1º Gr-G")</f>
        <v>1º Gr-G</v>
      </c>
      <c r="D12" s="42"/>
      <c r="E12" s="14"/>
      <c r="F12" s="20" t="s">
        <v>9</v>
      </c>
      <c r="G12" s="14"/>
      <c r="H12" s="42"/>
      <c r="I12" s="21" t="str">
        <f>IF(Respecagem!P1=72,INDEX(Respecagem!N$5:N$16,MATCH(4,Respecagem!M$5:M$16,0)),"Melhor 3º #4")</f>
        <v>Melhor 3º #4</v>
      </c>
      <c r="J12" s="17" t="s">
        <v>217</v>
      </c>
      <c r="K12" s="38"/>
      <c r="L12" s="39" t="s">
        <v>9</v>
      </c>
      <c r="M12" s="38"/>
      <c r="N12" s="17" t="s">
        <v>217</v>
      </c>
      <c r="O12" s="40"/>
      <c r="P12" s="40"/>
      <c r="Q12" s="41" t="str">
        <f t="shared" si="0"/>
        <v/>
      </c>
      <c r="R12" s="17"/>
    </row>
    <row r="13" spans="1:19" ht="24" customHeight="1" x14ac:dyDescent="0.3">
      <c r="A13" s="11"/>
      <c r="B13" s="11" t="s">
        <v>225</v>
      </c>
      <c r="C13" s="12" t="str">
        <f>IF(COUNTA('Gr-F'!D5:D10)=6,INDEX('Gr-F'!Q$14:Q$17,MATCH(2,'Gr-F'!AA$14:AA$17,0)),"2º Gr-F")</f>
        <v>2º Gr-F</v>
      </c>
      <c r="D13" s="25"/>
      <c r="E13" s="14"/>
      <c r="F13" s="15" t="s">
        <v>9</v>
      </c>
      <c r="G13" s="14"/>
      <c r="H13" s="25"/>
      <c r="I13" s="16" t="str">
        <f>IF(COUNTA('Gr-E'!D5:D10)=6,INDEX('Gr-E'!Q$14:Q$17,MATCH(2,'Gr-E'!AA$14:AA$17,0)),"2º Gr-E")</f>
        <v>2º Gr-E</v>
      </c>
      <c r="J13" s="11" t="s">
        <v>217</v>
      </c>
      <c r="K13" s="38"/>
      <c r="L13" s="39" t="s">
        <v>9</v>
      </c>
      <c r="M13" s="38"/>
      <c r="N13" s="11" t="s">
        <v>217</v>
      </c>
      <c r="O13" s="40"/>
      <c r="P13" s="40"/>
      <c r="Q13" s="41" t="str">
        <f t="shared" si="0"/>
        <v/>
      </c>
      <c r="R13" s="11"/>
    </row>
    <row r="14" spans="1:19" ht="24" customHeight="1" x14ac:dyDescent="0.3">
      <c r="A14" s="17"/>
      <c r="B14" s="17" t="s">
        <v>226</v>
      </c>
      <c r="C14" s="18" t="str">
        <f>IF(COUNTA('Gr-I'!D5:D10)=6,INDEX('Gr-I'!Q$14:Q$17,MATCH(2,'Gr-I'!AA$14:AA$17,0)),"2º Gr-I")</f>
        <v>2º Gr-I</v>
      </c>
      <c r="D14" s="42"/>
      <c r="E14" s="14"/>
      <c r="F14" s="20" t="s">
        <v>9</v>
      </c>
      <c r="G14" s="14"/>
      <c r="H14" s="42"/>
      <c r="I14" s="21" t="str">
        <f>IF(COUNTA('Gr-C'!D5:D10)=6,INDEX('Gr-C'!Q$14:Q$17,MATCH(1,'Gr-C'!AA$14:AA$17,0)),"1º Gr-C")</f>
        <v>1º Gr-C</v>
      </c>
      <c r="J14" s="17" t="s">
        <v>217</v>
      </c>
      <c r="K14" s="38"/>
      <c r="L14" s="39" t="s">
        <v>9</v>
      </c>
      <c r="M14" s="38"/>
      <c r="N14" s="17" t="s">
        <v>217</v>
      </c>
      <c r="O14" s="40"/>
      <c r="P14" s="40"/>
      <c r="Q14" s="41" t="str">
        <f t="shared" si="0"/>
        <v/>
      </c>
      <c r="R14" s="17"/>
    </row>
    <row r="15" spans="1:19" ht="24" customHeight="1" x14ac:dyDescent="0.3">
      <c r="A15" s="11"/>
      <c r="B15" s="11" t="s">
        <v>227</v>
      </c>
      <c r="C15" s="12" t="str">
        <f>IF(COUNTA('Gr-A'!D5:D10)=6,INDEX('Gr-A'!Q$14:Q$17,MATCH(1,'Gr-A'!AA$14:AA$17,0)),"1º Gr-A")</f>
        <v>1º Gr-A</v>
      </c>
      <c r="D15" s="25"/>
      <c r="E15" s="14"/>
      <c r="F15" s="15" t="s">
        <v>9</v>
      </c>
      <c r="G15" s="14"/>
      <c r="H15" s="25"/>
      <c r="I15" s="16" t="str">
        <f>IF(Respecagem!P1=72,INDEX(Respecagem!N$5:N$16,MATCH(5,Respecagem!M$5:M$16,0)),"Melhor 3º #5")</f>
        <v>Melhor 3º #5</v>
      </c>
      <c r="J15" s="11" t="s">
        <v>217</v>
      </c>
      <c r="K15" s="38"/>
      <c r="L15" s="39" t="s">
        <v>9</v>
      </c>
      <c r="M15" s="38"/>
      <c r="N15" s="11" t="s">
        <v>217</v>
      </c>
      <c r="O15" s="40"/>
      <c r="P15" s="40"/>
      <c r="Q15" s="41" t="str">
        <f t="shared" si="0"/>
        <v/>
      </c>
      <c r="R15" s="11"/>
    </row>
    <row r="16" spans="1:19" ht="24" customHeight="1" x14ac:dyDescent="0.3">
      <c r="A16" s="17"/>
      <c r="B16" s="17" t="s">
        <v>228</v>
      </c>
      <c r="C16" s="18" t="str">
        <f>IF(COUNTA('Gr-L'!D5:D10)=6,INDEX('Gr-L'!Q$14:Q$17,MATCH(1,'Gr-L'!AA$14:AA$17,0)),"1º Gr-L")</f>
        <v>1º Gr-L</v>
      </c>
      <c r="D16" s="42"/>
      <c r="E16" s="14"/>
      <c r="F16" s="20" t="s">
        <v>9</v>
      </c>
      <c r="G16" s="14"/>
      <c r="H16" s="42"/>
      <c r="I16" s="21" t="str">
        <f>IF(Respecagem!P1=72,INDEX(Respecagem!N$5:N$16,MATCH(6,Respecagem!M$5:M$16,0)),"Melhor 3º #6")</f>
        <v>Melhor 3º #6</v>
      </c>
      <c r="J16" s="17" t="s">
        <v>217</v>
      </c>
      <c r="K16" s="38"/>
      <c r="L16" s="39" t="s">
        <v>9</v>
      </c>
      <c r="M16" s="38"/>
      <c r="N16" s="17" t="s">
        <v>217</v>
      </c>
      <c r="O16" s="40"/>
      <c r="P16" s="40"/>
      <c r="Q16" s="41" t="str">
        <f t="shared" si="0"/>
        <v/>
      </c>
      <c r="R16" s="17"/>
    </row>
    <row r="17" spans="1:18" ht="24" customHeight="1" x14ac:dyDescent="0.3">
      <c r="A17" s="11"/>
      <c r="B17" s="11" t="s">
        <v>229</v>
      </c>
      <c r="C17" s="12" t="str">
        <f>IF(COUNTA('Gr-J'!D5:D10)=6,INDEX('Gr-J'!Q$14:Q$17,MATCH(1,'Gr-J'!AA$14:AA$17,0)),"1º Gr-J")</f>
        <v>1º Gr-J</v>
      </c>
      <c r="D17" s="25"/>
      <c r="E17" s="14"/>
      <c r="F17" s="15" t="s">
        <v>9</v>
      </c>
      <c r="G17" s="14"/>
      <c r="H17" s="25"/>
      <c r="I17" s="16" t="str">
        <f>IF(COUNTA('Gr-H'!D5:D10)=6,INDEX('Gr-H'!Q$14:Q$17,MATCH(2,'Gr-H'!AA$14:AA$17,0)),"2º Gr-H")</f>
        <v>2º Gr-H</v>
      </c>
      <c r="J17" s="11" t="s">
        <v>217</v>
      </c>
      <c r="K17" s="38"/>
      <c r="L17" s="39" t="s">
        <v>9</v>
      </c>
      <c r="M17" s="38"/>
      <c r="N17" s="11" t="s">
        <v>217</v>
      </c>
      <c r="O17" s="40"/>
      <c r="P17" s="40"/>
      <c r="Q17" s="41" t="str">
        <f t="shared" si="0"/>
        <v/>
      </c>
      <c r="R17" s="11"/>
    </row>
    <row r="18" spans="1:18" ht="24" customHeight="1" x14ac:dyDescent="0.3">
      <c r="A18" s="17"/>
      <c r="B18" s="17" t="s">
        <v>230</v>
      </c>
      <c r="C18" s="18" t="str">
        <f>IF(COUNTA('Gr-D'!D5:D10)=6,INDEX('Gr-D'!Q$14:Q$17,MATCH(2,'Gr-D'!AA$14:AA$17,0)),"2º Gr-D")</f>
        <v>2º Gr-D</v>
      </c>
      <c r="D18" s="42"/>
      <c r="E18" s="14"/>
      <c r="F18" s="20" t="s">
        <v>9</v>
      </c>
      <c r="G18" s="14"/>
      <c r="H18" s="42"/>
      <c r="I18" s="21" t="str">
        <f>IF(COUNTA('Gr-G'!D5:D10)=6,INDEX('Gr-G'!Q$14:Q$17,MATCH(2,'Gr-G'!AA$14:AA$17,0)),"2º Gr-G")</f>
        <v>2º Gr-G</v>
      </c>
      <c r="J18" s="17" t="s">
        <v>217</v>
      </c>
      <c r="K18" s="38"/>
      <c r="L18" s="39" t="s">
        <v>9</v>
      </c>
      <c r="M18" s="38"/>
      <c r="N18" s="17" t="s">
        <v>217</v>
      </c>
      <c r="O18" s="40"/>
      <c r="P18" s="40"/>
      <c r="Q18" s="41" t="str">
        <f t="shared" si="0"/>
        <v/>
      </c>
      <c r="R18" s="17"/>
    </row>
    <row r="19" spans="1:18" ht="24" customHeight="1" x14ac:dyDescent="0.3">
      <c r="A19" s="11"/>
      <c r="B19" s="11" t="s">
        <v>231</v>
      </c>
      <c r="C19" s="12" t="str">
        <f>IF(COUNTA('Gr-B'!D5:D10)=6,INDEX('Gr-B'!Q$14:Q$17,MATCH(1,'Gr-B'!AA$14:AA$17,0)),"1º Gr-B")</f>
        <v>1º Gr-B</v>
      </c>
      <c r="D19" s="25"/>
      <c r="E19" s="14"/>
      <c r="F19" s="15" t="s">
        <v>9</v>
      </c>
      <c r="G19" s="14"/>
      <c r="H19" s="25"/>
      <c r="I19" s="16" t="str">
        <f>IF(Respecagem!P1=72,INDEX(Respecagem!N$5:N$16,MATCH(7,Respecagem!M$5:M$16,0)),"Melhor 3º #7")</f>
        <v>Melhor 3º #7</v>
      </c>
      <c r="J19" s="11" t="s">
        <v>217</v>
      </c>
      <c r="K19" s="38"/>
      <c r="L19" s="39" t="s">
        <v>9</v>
      </c>
      <c r="M19" s="38"/>
      <c r="N19" s="11" t="s">
        <v>217</v>
      </c>
      <c r="O19" s="40"/>
      <c r="P19" s="40"/>
      <c r="Q19" s="41" t="str">
        <f t="shared" si="0"/>
        <v/>
      </c>
      <c r="R19" s="11"/>
    </row>
    <row r="20" spans="1:18" ht="24" customHeight="1" x14ac:dyDescent="0.3">
      <c r="A20" s="17"/>
      <c r="B20" s="17" t="s">
        <v>232</v>
      </c>
      <c r="C20" s="18" t="str">
        <f>IF(COUNTA('Gr-K'!D5:D10)=6,INDEX('Gr-K'!Q$14:Q$17,MATCH(1,'Gr-K'!AA$14:AA$17,0)),"1º Gr-K")</f>
        <v>1º Gr-K</v>
      </c>
      <c r="D20" s="42"/>
      <c r="E20" s="14"/>
      <c r="F20" s="20" t="s">
        <v>9</v>
      </c>
      <c r="G20" s="14"/>
      <c r="H20" s="42"/>
      <c r="I20" s="21" t="str">
        <f>IF(Respecagem!P1=72,INDEX(Respecagem!N$5:N$16,MATCH(8,Respecagem!M$5:M$16,0)),"Melhor 3º #8")</f>
        <v>Melhor 3º #8</v>
      </c>
      <c r="J20" s="17" t="s">
        <v>217</v>
      </c>
      <c r="K20" s="38"/>
      <c r="L20" s="39" t="s">
        <v>9</v>
      </c>
      <c r="M20" s="38"/>
      <c r="N20" s="17" t="s">
        <v>217</v>
      </c>
      <c r="O20" s="40"/>
      <c r="P20" s="40"/>
      <c r="Q20" s="41" t="str">
        <f t="shared" si="0"/>
        <v/>
      </c>
      <c r="R20" s="17"/>
    </row>
    <row r="21" spans="1:18" ht="13.5" customHeight="1" x14ac:dyDescent="0.3">
      <c r="B21" s="84" t="s">
        <v>233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</row>
    <row r="22" spans="1:18" ht="13.8" customHeight="1" x14ac:dyDescent="0.3"/>
    <row r="23" spans="1:18" ht="21.75" customHeight="1" x14ac:dyDescent="0.3">
      <c r="A23" s="55"/>
      <c r="B23" s="82" t="s">
        <v>234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55"/>
    </row>
    <row r="24" spans="1:18" ht="15.75" customHeight="1" x14ac:dyDescent="0.3">
      <c r="A24" s="37" t="s">
        <v>255</v>
      </c>
      <c r="B24" s="37" t="s">
        <v>209</v>
      </c>
      <c r="C24" s="37" t="s">
        <v>210</v>
      </c>
      <c r="E24" s="37" t="s">
        <v>211</v>
      </c>
      <c r="G24" s="37" t="s">
        <v>211</v>
      </c>
      <c r="I24" s="37" t="s">
        <v>212</v>
      </c>
      <c r="K24" s="37" t="s">
        <v>213</v>
      </c>
      <c r="M24" s="37" t="s">
        <v>213</v>
      </c>
      <c r="O24" s="37" t="s">
        <v>214</v>
      </c>
      <c r="P24" s="37" t="s">
        <v>214</v>
      </c>
      <c r="Q24" s="37" t="s">
        <v>215</v>
      </c>
      <c r="R24" s="37" t="s">
        <v>7</v>
      </c>
    </row>
    <row r="25" spans="1:18" ht="24" customHeight="1" x14ac:dyDescent="0.3">
      <c r="A25" s="11"/>
      <c r="B25" s="11" t="s">
        <v>235</v>
      </c>
      <c r="C25" s="12" t="str">
        <f>Q5</f>
        <v/>
      </c>
      <c r="D25" s="25"/>
      <c r="E25" s="14"/>
      <c r="F25" s="15" t="s">
        <v>9</v>
      </c>
      <c r="G25" s="14"/>
      <c r="H25" s="25"/>
      <c r="I25" s="16" t="str">
        <f>Q6</f>
        <v/>
      </c>
      <c r="J25" s="11" t="s">
        <v>217</v>
      </c>
      <c r="K25" s="38"/>
      <c r="L25" s="39" t="s">
        <v>9</v>
      </c>
      <c r="M25" s="38"/>
      <c r="N25" s="11" t="s">
        <v>217</v>
      </c>
      <c r="O25" s="40"/>
      <c r="P25" s="40"/>
      <c r="Q25" s="41" t="str">
        <f t="shared" ref="Q25:Q32" si="1">IF(OR(E25="",G25=""),"",IF(E25&gt;G25,C25,IF(E25&lt;G25,I25,IF(AND(K25&lt;&gt;"",M25&lt;&gt;""),IF(K25&gt;M25,C25,IF(K25&lt;M25,I25,IF(AND(O25&lt;&gt;"",P25&lt;&gt;""),IF(O25&gt;=P25,C25,I25),"Pênaltis pendentes"))),"Prorrogação pendente"))))</f>
        <v/>
      </c>
      <c r="R25" s="11"/>
    </row>
    <row r="26" spans="1:18" ht="24" customHeight="1" x14ac:dyDescent="0.3">
      <c r="A26" s="17"/>
      <c r="B26" s="17" t="s">
        <v>236</v>
      </c>
      <c r="C26" s="18" t="str">
        <f>Q7</f>
        <v/>
      </c>
      <c r="D26" s="42"/>
      <c r="E26" s="14"/>
      <c r="F26" s="20" t="s">
        <v>9</v>
      </c>
      <c r="G26" s="14"/>
      <c r="H26" s="42"/>
      <c r="I26" s="21" t="str">
        <f>Q8</f>
        <v/>
      </c>
      <c r="J26" s="17" t="s">
        <v>217</v>
      </c>
      <c r="K26" s="38"/>
      <c r="L26" s="39" t="s">
        <v>9</v>
      </c>
      <c r="M26" s="38"/>
      <c r="N26" s="17" t="s">
        <v>217</v>
      </c>
      <c r="O26" s="40"/>
      <c r="P26" s="40"/>
      <c r="Q26" s="41" t="str">
        <f t="shared" si="1"/>
        <v/>
      </c>
      <c r="R26" s="17"/>
    </row>
    <row r="27" spans="1:18" ht="24" customHeight="1" x14ac:dyDescent="0.3">
      <c r="A27" s="11"/>
      <c r="B27" s="11" t="s">
        <v>237</v>
      </c>
      <c r="C27" s="12" t="str">
        <f>Q9</f>
        <v/>
      </c>
      <c r="D27" s="25"/>
      <c r="E27" s="14"/>
      <c r="F27" s="15" t="s">
        <v>9</v>
      </c>
      <c r="G27" s="14"/>
      <c r="H27" s="25"/>
      <c r="I27" s="16" t="str">
        <f>Q10</f>
        <v/>
      </c>
      <c r="J27" s="11" t="s">
        <v>217</v>
      </c>
      <c r="K27" s="38"/>
      <c r="L27" s="39" t="s">
        <v>9</v>
      </c>
      <c r="M27" s="38"/>
      <c r="N27" s="11" t="s">
        <v>217</v>
      </c>
      <c r="O27" s="40"/>
      <c r="P27" s="40"/>
      <c r="Q27" s="41" t="str">
        <f t="shared" si="1"/>
        <v/>
      </c>
      <c r="R27" s="11"/>
    </row>
    <row r="28" spans="1:18" ht="24" customHeight="1" x14ac:dyDescent="0.3">
      <c r="A28" s="17"/>
      <c r="B28" s="17" t="s">
        <v>238</v>
      </c>
      <c r="C28" s="18" t="str">
        <f>Q11</f>
        <v/>
      </c>
      <c r="D28" s="42"/>
      <c r="E28" s="14"/>
      <c r="F28" s="20" t="s">
        <v>9</v>
      </c>
      <c r="G28" s="14"/>
      <c r="H28" s="42"/>
      <c r="I28" s="21" t="str">
        <f>Q12</f>
        <v/>
      </c>
      <c r="J28" s="17" t="s">
        <v>217</v>
      </c>
      <c r="K28" s="38"/>
      <c r="L28" s="39" t="s">
        <v>9</v>
      </c>
      <c r="M28" s="38"/>
      <c r="N28" s="17" t="s">
        <v>217</v>
      </c>
      <c r="O28" s="40"/>
      <c r="P28" s="40"/>
      <c r="Q28" s="41" t="str">
        <f t="shared" si="1"/>
        <v/>
      </c>
      <c r="R28" s="17"/>
    </row>
    <row r="29" spans="1:18" ht="24" customHeight="1" x14ac:dyDescent="0.3">
      <c r="A29" s="11"/>
      <c r="B29" s="11" t="s">
        <v>239</v>
      </c>
      <c r="C29" s="12" t="str">
        <f>Q13</f>
        <v/>
      </c>
      <c r="D29" s="25"/>
      <c r="E29" s="14"/>
      <c r="F29" s="15" t="s">
        <v>9</v>
      </c>
      <c r="G29" s="14"/>
      <c r="H29" s="25"/>
      <c r="I29" s="16" t="str">
        <f>Q14</f>
        <v/>
      </c>
      <c r="J29" s="11" t="s">
        <v>217</v>
      </c>
      <c r="K29" s="38"/>
      <c r="L29" s="39" t="s">
        <v>9</v>
      </c>
      <c r="M29" s="38"/>
      <c r="N29" s="11" t="s">
        <v>217</v>
      </c>
      <c r="O29" s="40"/>
      <c r="P29" s="40"/>
      <c r="Q29" s="41" t="str">
        <f t="shared" si="1"/>
        <v/>
      </c>
      <c r="R29" s="11"/>
    </row>
    <row r="30" spans="1:18" ht="24" customHeight="1" x14ac:dyDescent="0.3">
      <c r="A30" s="17"/>
      <c r="B30" s="17" t="s">
        <v>240</v>
      </c>
      <c r="C30" s="18" t="str">
        <f>Q15</f>
        <v/>
      </c>
      <c r="D30" s="42"/>
      <c r="E30" s="14"/>
      <c r="F30" s="20" t="s">
        <v>9</v>
      </c>
      <c r="G30" s="14"/>
      <c r="H30" s="42"/>
      <c r="I30" s="21" t="str">
        <f>Q16</f>
        <v/>
      </c>
      <c r="J30" s="17" t="s">
        <v>217</v>
      </c>
      <c r="K30" s="38"/>
      <c r="L30" s="39" t="s">
        <v>9</v>
      </c>
      <c r="M30" s="38"/>
      <c r="N30" s="17" t="s">
        <v>217</v>
      </c>
      <c r="O30" s="40"/>
      <c r="P30" s="40"/>
      <c r="Q30" s="41" t="str">
        <f t="shared" si="1"/>
        <v/>
      </c>
      <c r="R30" s="17"/>
    </row>
    <row r="31" spans="1:18" ht="24" customHeight="1" x14ac:dyDescent="0.3">
      <c r="A31" s="11"/>
      <c r="B31" s="11" t="s">
        <v>241</v>
      </c>
      <c r="C31" s="12" t="str">
        <f>Q17</f>
        <v/>
      </c>
      <c r="D31" s="25"/>
      <c r="E31" s="14"/>
      <c r="F31" s="15" t="s">
        <v>9</v>
      </c>
      <c r="G31" s="14"/>
      <c r="H31" s="25"/>
      <c r="I31" s="16" t="str">
        <f>Q18</f>
        <v/>
      </c>
      <c r="J31" s="11" t="s">
        <v>217</v>
      </c>
      <c r="K31" s="38"/>
      <c r="L31" s="39" t="s">
        <v>9</v>
      </c>
      <c r="M31" s="38"/>
      <c r="N31" s="11" t="s">
        <v>217</v>
      </c>
      <c r="O31" s="40"/>
      <c r="P31" s="40"/>
      <c r="Q31" s="41" t="str">
        <f t="shared" si="1"/>
        <v/>
      </c>
      <c r="R31" s="11"/>
    </row>
    <row r="32" spans="1:18" ht="24" customHeight="1" x14ac:dyDescent="0.3">
      <c r="A32" s="17"/>
      <c r="B32" s="17" t="s">
        <v>242</v>
      </c>
      <c r="C32" s="18" t="str">
        <f>Q19</f>
        <v/>
      </c>
      <c r="D32" s="42"/>
      <c r="E32" s="14"/>
      <c r="F32" s="20" t="s">
        <v>9</v>
      </c>
      <c r="G32" s="14"/>
      <c r="H32" s="42"/>
      <c r="I32" s="21" t="str">
        <f>Q20</f>
        <v/>
      </c>
      <c r="J32" s="17" t="s">
        <v>217</v>
      </c>
      <c r="K32" s="38"/>
      <c r="L32" s="39" t="s">
        <v>9</v>
      </c>
      <c r="M32" s="38"/>
      <c r="N32" s="17" t="s">
        <v>217</v>
      </c>
      <c r="O32" s="40"/>
      <c r="P32" s="40"/>
      <c r="Q32" s="41" t="str">
        <f t="shared" si="1"/>
        <v/>
      </c>
      <c r="R32" s="17"/>
    </row>
    <row r="33" spans="1:18" ht="13.8" customHeight="1" x14ac:dyDescent="0.3"/>
    <row r="34" spans="1:18" ht="21.75" customHeight="1" x14ac:dyDescent="0.3">
      <c r="A34" s="55"/>
      <c r="B34" s="82" t="s">
        <v>243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55"/>
    </row>
    <row r="35" spans="1:18" ht="15.75" customHeight="1" x14ac:dyDescent="0.3">
      <c r="A35" s="37" t="s">
        <v>255</v>
      </c>
      <c r="B35" s="37" t="s">
        <v>209</v>
      </c>
      <c r="C35" s="37" t="s">
        <v>210</v>
      </c>
      <c r="E35" s="37" t="s">
        <v>211</v>
      </c>
      <c r="G35" s="37" t="s">
        <v>211</v>
      </c>
      <c r="I35" s="37" t="s">
        <v>212</v>
      </c>
      <c r="K35" s="37" t="s">
        <v>213</v>
      </c>
      <c r="M35" s="37" t="s">
        <v>213</v>
      </c>
      <c r="O35" s="37" t="s">
        <v>214</v>
      </c>
      <c r="P35" s="37" t="s">
        <v>214</v>
      </c>
      <c r="Q35" s="37" t="s">
        <v>215</v>
      </c>
      <c r="R35" s="37" t="s">
        <v>7</v>
      </c>
    </row>
    <row r="36" spans="1:18" ht="24" customHeight="1" x14ac:dyDescent="0.3">
      <c r="A36" s="11"/>
      <c r="B36" s="11" t="s">
        <v>244</v>
      </c>
      <c r="C36" s="12" t="str">
        <f>Q25</f>
        <v/>
      </c>
      <c r="D36" s="25"/>
      <c r="E36" s="14"/>
      <c r="F36" s="15" t="s">
        <v>9</v>
      </c>
      <c r="G36" s="14"/>
      <c r="H36" s="25"/>
      <c r="I36" s="16" t="str">
        <f>Q26</f>
        <v/>
      </c>
      <c r="J36" s="11" t="s">
        <v>217</v>
      </c>
      <c r="K36" s="38"/>
      <c r="L36" s="39" t="s">
        <v>9</v>
      </c>
      <c r="M36" s="38"/>
      <c r="N36" s="11" t="s">
        <v>217</v>
      </c>
      <c r="O36" s="40"/>
      <c r="P36" s="40"/>
      <c r="Q36" s="41" t="str">
        <f>IF(OR(E36="",G36=""),"",IF(E36&gt;G36,C36,IF(E36&lt;G36,I36,IF(AND(K36&lt;&gt;"",M36&lt;&gt;""),IF(K36&gt;M36,C36,IF(K36&lt;M36,I36,IF(AND(O36&lt;&gt;"",P36&lt;&gt;""),IF(O36&gt;=P36,C36,I36),"Pênaltis pendentes"))),"Prorrogação pendente"))))</f>
        <v/>
      </c>
      <c r="R36" s="11"/>
    </row>
    <row r="37" spans="1:18" ht="24" customHeight="1" x14ac:dyDescent="0.3">
      <c r="A37" s="17"/>
      <c r="B37" s="17" t="s">
        <v>245</v>
      </c>
      <c r="C37" s="18" t="str">
        <f>Q27</f>
        <v/>
      </c>
      <c r="D37" s="42"/>
      <c r="E37" s="14"/>
      <c r="F37" s="20" t="s">
        <v>9</v>
      </c>
      <c r="G37" s="14"/>
      <c r="H37" s="42"/>
      <c r="I37" s="21" t="str">
        <f>Q28</f>
        <v/>
      </c>
      <c r="J37" s="17" t="s">
        <v>217</v>
      </c>
      <c r="K37" s="38"/>
      <c r="L37" s="39" t="s">
        <v>9</v>
      </c>
      <c r="M37" s="38"/>
      <c r="N37" s="17" t="s">
        <v>217</v>
      </c>
      <c r="O37" s="40"/>
      <c r="P37" s="40"/>
      <c r="Q37" s="41" t="str">
        <f>IF(OR(E37="",G37=""),"",IF(E37&gt;G37,C37,IF(E37&lt;G37,I37,IF(AND(K37&lt;&gt;"",M37&lt;&gt;""),IF(K37&gt;M37,C37,IF(K37&lt;M37,I37,IF(AND(O37&lt;&gt;"",P37&lt;&gt;""),IF(O37&gt;=P37,C37,I37),"Pênaltis pendentes"))),"Prorrogação pendente"))))</f>
        <v/>
      </c>
      <c r="R37" s="17"/>
    </row>
    <row r="38" spans="1:18" ht="24" customHeight="1" x14ac:dyDescent="0.3">
      <c r="A38" s="11"/>
      <c r="B38" s="11" t="s">
        <v>246</v>
      </c>
      <c r="C38" s="12" t="str">
        <f>Q29</f>
        <v/>
      </c>
      <c r="D38" s="25"/>
      <c r="E38" s="14"/>
      <c r="F38" s="15" t="s">
        <v>9</v>
      </c>
      <c r="G38" s="14"/>
      <c r="H38" s="25"/>
      <c r="I38" s="16" t="str">
        <f>Q30</f>
        <v/>
      </c>
      <c r="J38" s="11" t="s">
        <v>217</v>
      </c>
      <c r="K38" s="38"/>
      <c r="L38" s="39" t="s">
        <v>9</v>
      </c>
      <c r="M38" s="38"/>
      <c r="N38" s="11" t="s">
        <v>217</v>
      </c>
      <c r="O38" s="40"/>
      <c r="P38" s="40"/>
      <c r="Q38" s="41" t="str">
        <f>IF(OR(E38="",G38=""),"",IF(E38&gt;G38,C38,IF(E38&lt;G38,I38,IF(AND(K38&lt;&gt;"",M38&lt;&gt;""),IF(K38&gt;M38,C38,IF(K38&lt;M38,I38,IF(AND(O38&lt;&gt;"",P38&lt;&gt;""),IF(O38&gt;=P38,C38,I38),"Pênaltis pendentes"))),"Prorrogação pendente"))))</f>
        <v/>
      </c>
      <c r="R38" s="11"/>
    </row>
    <row r="39" spans="1:18" ht="24" customHeight="1" x14ac:dyDescent="0.3">
      <c r="A39" s="17"/>
      <c r="B39" s="17" t="s">
        <v>247</v>
      </c>
      <c r="C39" s="18" t="str">
        <f>Q31</f>
        <v/>
      </c>
      <c r="D39" s="42"/>
      <c r="E39" s="14"/>
      <c r="F39" s="20" t="s">
        <v>9</v>
      </c>
      <c r="G39" s="14"/>
      <c r="H39" s="42"/>
      <c r="I39" s="21" t="str">
        <f>Q32</f>
        <v/>
      </c>
      <c r="J39" s="17" t="s">
        <v>217</v>
      </c>
      <c r="K39" s="38"/>
      <c r="L39" s="39" t="s">
        <v>9</v>
      </c>
      <c r="M39" s="38"/>
      <c r="N39" s="17" t="s">
        <v>217</v>
      </c>
      <c r="O39" s="40"/>
      <c r="P39" s="40"/>
      <c r="Q39" s="41" t="str">
        <f>IF(OR(E39="",G39=""),"",IF(E39&gt;G39,C39,IF(E39&lt;G39,I39,IF(AND(K39&lt;&gt;"",M39&lt;&gt;""),IF(K39&gt;M39,C39,IF(K39&lt;M39,I39,IF(AND(O39&lt;&gt;"",P39&lt;&gt;""),IF(O39&gt;=P39,C39,I39),"Pênaltis pendentes"))),"Prorrogação pendente"))))</f>
        <v/>
      </c>
      <c r="R39" s="17"/>
    </row>
    <row r="40" spans="1:18" ht="14.4" customHeight="1" x14ac:dyDescent="0.3"/>
    <row r="41" spans="1:18" ht="21.75" customHeight="1" x14ac:dyDescent="0.3">
      <c r="A41" s="55"/>
      <c r="B41" s="82" t="s">
        <v>248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55"/>
    </row>
    <row r="42" spans="1:18" ht="15.75" customHeight="1" x14ac:dyDescent="0.3">
      <c r="A42" s="37" t="s">
        <v>255</v>
      </c>
      <c r="B42" s="37" t="s">
        <v>209</v>
      </c>
      <c r="C42" s="37" t="s">
        <v>210</v>
      </c>
      <c r="E42" s="37" t="s">
        <v>211</v>
      </c>
      <c r="G42" s="37" t="s">
        <v>211</v>
      </c>
      <c r="I42" s="37" t="s">
        <v>212</v>
      </c>
      <c r="K42" s="37" t="s">
        <v>213</v>
      </c>
      <c r="M42" s="37" t="s">
        <v>213</v>
      </c>
      <c r="O42" s="37" t="s">
        <v>214</v>
      </c>
      <c r="P42" s="37" t="s">
        <v>214</v>
      </c>
      <c r="Q42" s="37" t="s">
        <v>215</v>
      </c>
      <c r="R42" s="37" t="s">
        <v>7</v>
      </c>
    </row>
    <row r="43" spans="1:18" ht="24" customHeight="1" x14ac:dyDescent="0.3">
      <c r="A43" s="11"/>
      <c r="B43" s="11" t="s">
        <v>249</v>
      </c>
      <c r="C43" s="12" t="str">
        <f>Q36</f>
        <v/>
      </c>
      <c r="D43" s="25"/>
      <c r="E43" s="14"/>
      <c r="F43" s="15" t="s">
        <v>9</v>
      </c>
      <c r="G43" s="14"/>
      <c r="H43" s="25"/>
      <c r="I43" s="16" t="str">
        <f>Q37</f>
        <v/>
      </c>
      <c r="J43" s="11" t="s">
        <v>217</v>
      </c>
      <c r="K43" s="38"/>
      <c r="L43" s="39" t="s">
        <v>9</v>
      </c>
      <c r="M43" s="38"/>
      <c r="N43" s="11" t="s">
        <v>217</v>
      </c>
      <c r="O43" s="40"/>
      <c r="P43" s="40"/>
      <c r="Q43" s="41" t="str">
        <f>IF(OR(E43="",G43=""),"",IF(E43&gt;G43,C43,IF(E43&lt;G43,I43,IF(AND(K43&lt;&gt;"",M43&lt;&gt;""),IF(K43&gt;M43,C43,IF(K43&lt;M43,I43,IF(AND(O43&lt;&gt;"",P43&lt;&gt;""),IF(O43&gt;=P43,C43,I43),"Pênaltis pendentes"))),"Prorrogação pendente"))))</f>
        <v/>
      </c>
      <c r="R43" s="11"/>
    </row>
    <row r="44" spans="1:18" ht="24" customHeight="1" x14ac:dyDescent="0.3">
      <c r="A44" s="17"/>
      <c r="B44" s="17" t="s">
        <v>250</v>
      </c>
      <c r="C44" s="18" t="str">
        <f>Q38</f>
        <v/>
      </c>
      <c r="D44" s="42"/>
      <c r="E44" s="14"/>
      <c r="F44" s="20" t="s">
        <v>9</v>
      </c>
      <c r="G44" s="14"/>
      <c r="H44" s="42"/>
      <c r="I44" s="21" t="str">
        <f>Q39</f>
        <v/>
      </c>
      <c r="J44" s="17" t="s">
        <v>217</v>
      </c>
      <c r="K44" s="38"/>
      <c r="L44" s="39" t="s">
        <v>9</v>
      </c>
      <c r="M44" s="38"/>
      <c r="N44" s="17" t="s">
        <v>217</v>
      </c>
      <c r="O44" s="40"/>
      <c r="P44" s="40"/>
      <c r="Q44" s="41" t="str">
        <f>IF(OR(E44="",G44=""),"",IF(E44&gt;G44,C44,IF(E44&lt;G44,I44,IF(AND(K44&lt;&gt;"",M44&lt;&gt;""),IF(K44&gt;M44,C44,IF(K44&lt;M44,I44,IF(AND(O44&lt;&gt;"",P44&lt;&gt;""),IF(O44&gt;=P44,C44,I44),"Pênaltis pendentes"))),"Prorrogação pendente"))))</f>
        <v/>
      </c>
      <c r="R44" s="17"/>
    </row>
    <row r="45" spans="1:18" ht="15" customHeight="1" x14ac:dyDescent="0.3"/>
    <row r="46" spans="1:18" ht="21.75" customHeight="1" x14ac:dyDescent="0.3">
      <c r="A46" s="58"/>
      <c r="B46" s="81" t="s">
        <v>251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58"/>
    </row>
    <row r="47" spans="1:18" ht="15.75" customHeight="1" x14ac:dyDescent="0.3">
      <c r="A47" s="61" t="s">
        <v>255</v>
      </c>
      <c r="B47" s="37" t="s">
        <v>209</v>
      </c>
      <c r="C47" s="37" t="s">
        <v>210</v>
      </c>
      <c r="E47" s="37" t="s">
        <v>211</v>
      </c>
      <c r="G47" s="37" t="s">
        <v>211</v>
      </c>
      <c r="I47" s="37" t="s">
        <v>212</v>
      </c>
      <c r="K47" s="37" t="s">
        <v>213</v>
      </c>
      <c r="M47" s="37" t="s">
        <v>213</v>
      </c>
      <c r="O47" s="37" t="s">
        <v>214</v>
      </c>
      <c r="P47" s="37" t="s">
        <v>214</v>
      </c>
      <c r="Q47" s="37" t="s">
        <v>215</v>
      </c>
      <c r="R47" s="62" t="s">
        <v>7</v>
      </c>
    </row>
    <row r="48" spans="1:18" ht="24" customHeight="1" x14ac:dyDescent="0.3">
      <c r="A48" s="11"/>
      <c r="B48" s="11" t="s">
        <v>252</v>
      </c>
      <c r="C48" s="12" t="str">
        <f>IF(Q43=C43,I43,C43)</f>
        <v/>
      </c>
      <c r="D48" s="25"/>
      <c r="E48" s="14"/>
      <c r="F48" s="15" t="s">
        <v>9</v>
      </c>
      <c r="G48" s="14"/>
      <c r="H48" s="25"/>
      <c r="I48" s="16" t="str">
        <f>IF(Q44=C44,I44,C44)</f>
        <v/>
      </c>
      <c r="J48" s="11" t="s">
        <v>217</v>
      </c>
      <c r="K48" s="38"/>
      <c r="L48" s="39" t="s">
        <v>9</v>
      </c>
      <c r="M48" s="38"/>
      <c r="N48" s="11" t="s">
        <v>217</v>
      </c>
      <c r="O48" s="40"/>
      <c r="P48" s="40"/>
      <c r="Q48" s="41" t="str">
        <f>IF(OR(E48="",G48=""),"",IF(E48&gt;G48,C48,IF(E48&lt;G48,I48,IF(AND(K48&lt;&gt;"",M48&lt;&gt;""),IF(K48&gt;M48,C48,IF(K48&lt;M48,I48,IF(AND(O48&lt;&gt;"",P48&lt;&gt;""),IF(O48&gt;=P48,C48,I48),"Pênaltis pendentes"))),"Prorrogação pendente"))))</f>
        <v/>
      </c>
      <c r="R48" s="11"/>
    </row>
    <row r="49" spans="1:18" ht="15" customHeight="1" x14ac:dyDescent="0.3"/>
    <row r="50" spans="1:18" ht="21.75" customHeight="1" x14ac:dyDescent="0.3">
      <c r="A50" s="59"/>
      <c r="B50" s="83" t="s">
        <v>253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59"/>
    </row>
    <row r="51" spans="1:18" ht="15.75" customHeight="1" x14ac:dyDescent="0.3">
      <c r="A51" s="37" t="s">
        <v>255</v>
      </c>
      <c r="B51" s="37" t="s">
        <v>209</v>
      </c>
      <c r="C51" s="37" t="s">
        <v>210</v>
      </c>
      <c r="E51" s="37" t="s">
        <v>211</v>
      </c>
      <c r="G51" s="37" t="s">
        <v>211</v>
      </c>
      <c r="I51" s="37" t="s">
        <v>212</v>
      </c>
      <c r="K51" s="37" t="s">
        <v>213</v>
      </c>
      <c r="M51" s="37" t="s">
        <v>213</v>
      </c>
      <c r="O51" s="37" t="s">
        <v>214</v>
      </c>
      <c r="P51" s="37" t="s">
        <v>214</v>
      </c>
      <c r="Q51" s="37" t="s">
        <v>215</v>
      </c>
      <c r="R51" s="37" t="s">
        <v>7</v>
      </c>
    </row>
    <row r="52" spans="1:18" ht="24" customHeight="1" x14ac:dyDescent="0.3">
      <c r="A52" s="43"/>
      <c r="B52" s="60" t="s">
        <v>254</v>
      </c>
      <c r="C52" s="44" t="str">
        <f>Q43</f>
        <v/>
      </c>
      <c r="D52" s="45"/>
      <c r="E52" s="46"/>
      <c r="F52" s="47" t="s">
        <v>9</v>
      </c>
      <c r="G52" s="46"/>
      <c r="H52" s="45"/>
      <c r="I52" s="48" t="str">
        <f>Q44</f>
        <v/>
      </c>
      <c r="J52" s="43" t="s">
        <v>217</v>
      </c>
      <c r="K52" s="49"/>
      <c r="L52" s="50" t="s">
        <v>9</v>
      </c>
      <c r="M52" s="49"/>
      <c r="N52" s="43" t="s">
        <v>217</v>
      </c>
      <c r="O52" s="51"/>
      <c r="P52" s="51"/>
      <c r="Q52" s="52" t="str">
        <f>IF(OR(E52="",G52=""),"",IF(E52&gt;G52,C52,IF(E52&lt;G52,I52,IF(AND(K52&lt;&gt;"",M52&lt;&gt;""),IF(K52&gt;M52,C52,IF(K52&lt;M52,I52,IF(AND(O52&lt;&gt;"",P52&lt;&gt;""),IF(O52&gt;=P52,C52,I52),"Pênaltis pendentes"))),"Prorrogação pendente"))))</f>
        <v/>
      </c>
      <c r="R52" s="43"/>
    </row>
  </sheetData>
  <mergeCells count="8">
    <mergeCell ref="B46:Q46"/>
    <mergeCell ref="B1:Q1"/>
    <mergeCell ref="B23:Q23"/>
    <mergeCell ref="B34:Q34"/>
    <mergeCell ref="B50:Q50"/>
    <mergeCell ref="B3:Q3"/>
    <mergeCell ref="B21:Q21"/>
    <mergeCell ref="B41:Q4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46C0A"/>
  </sheetPr>
  <dimension ref="A1:AO20"/>
  <sheetViews>
    <sheetView showGridLines="0" zoomScaleNormal="100" workbookViewId="0">
      <selection activeCell="AT8" sqref="AT8"/>
    </sheetView>
  </sheetViews>
  <sheetFormatPr defaultColWidth="8.6640625" defaultRowHeight="14.4" x14ac:dyDescent="0.3"/>
  <cols>
    <col min="1" max="1" width="12" customWidth="1"/>
    <col min="2" max="2" width="22" customWidth="1"/>
    <col min="3" max="3" width="3" customWidth="1"/>
    <col min="4" max="4" width="6" customWidth="1"/>
    <col min="5" max="5" width="3" customWidth="1"/>
    <col min="6" max="6" width="6" customWidth="1"/>
    <col min="7" max="7" width="3" customWidth="1"/>
    <col min="8" max="8" width="22" customWidth="1"/>
    <col min="9" max="12" width="4" customWidth="1"/>
    <col min="13" max="15" width="5" customWidth="1"/>
    <col min="16" max="16" width="5.109375" customWidth="1"/>
    <col min="17" max="26" width="12" style="9" hidden="1" customWidth="1"/>
    <col min="27" max="27" width="3.21875" style="9" hidden="1" customWidth="1"/>
    <col min="28" max="28" width="8.21875" style="9" hidden="1" customWidth="1"/>
    <col min="29" max="31" width="8.6640625" style="9" hidden="1" customWidth="1"/>
    <col min="32" max="41" width="8.6640625" hidden="1" customWidth="1"/>
  </cols>
  <sheetData>
    <row r="1" spans="1:27" ht="31.5" customHeight="1" x14ac:dyDescent="0.3">
      <c r="A1" s="67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7" ht="6" customHeight="1" x14ac:dyDescent="0.3"/>
    <row r="3" spans="1:27" ht="19.5" customHeight="1" x14ac:dyDescent="0.3">
      <c r="A3" s="72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7" ht="18" customHeight="1" x14ac:dyDescent="0.3">
      <c r="A4" s="10" t="s">
        <v>2</v>
      </c>
      <c r="B4" s="10" t="s">
        <v>3</v>
      </c>
      <c r="D4" s="10" t="s">
        <v>4</v>
      </c>
      <c r="F4" s="10" t="s">
        <v>5</v>
      </c>
      <c r="H4" s="10" t="s">
        <v>6</v>
      </c>
      <c r="I4" s="75" t="s">
        <v>7</v>
      </c>
      <c r="J4" s="69"/>
      <c r="K4" s="70"/>
    </row>
    <row r="5" spans="1:27" ht="21.75" customHeight="1" x14ac:dyDescent="0.3">
      <c r="A5" s="53" t="s">
        <v>8</v>
      </c>
      <c r="B5" s="12" t="str">
        <f>Q5</f>
        <v>México</v>
      </c>
      <c r="C5" s="13"/>
      <c r="D5" s="14">
        <v>2</v>
      </c>
      <c r="E5" s="15" t="s">
        <v>9</v>
      </c>
      <c r="F5" s="14">
        <v>0</v>
      </c>
      <c r="G5" s="13"/>
      <c r="H5" s="16" t="str">
        <f>Q6</f>
        <v>África do Sul</v>
      </c>
      <c r="I5" s="68" t="s">
        <v>33</v>
      </c>
      <c r="J5" s="69"/>
      <c r="K5" s="70"/>
      <c r="M5" s="76" t="s">
        <v>10</v>
      </c>
      <c r="N5" s="77"/>
      <c r="O5" s="77"/>
      <c r="P5" s="78"/>
      <c r="Q5" s="9" t="s">
        <v>11</v>
      </c>
    </row>
    <row r="6" spans="1:27" ht="21.75" customHeight="1" x14ac:dyDescent="0.3">
      <c r="A6" s="54" t="s">
        <v>12</v>
      </c>
      <c r="B6" s="18" t="str">
        <f>Q7</f>
        <v>Coreia do Sul</v>
      </c>
      <c r="C6" s="19"/>
      <c r="D6" s="14">
        <v>2</v>
      </c>
      <c r="E6" s="20" t="s">
        <v>9</v>
      </c>
      <c r="F6" s="14">
        <v>1</v>
      </c>
      <c r="G6" s="19"/>
      <c r="H6" s="21" t="str">
        <f>Q8</f>
        <v>República Tcheca</v>
      </c>
      <c r="I6" s="71" t="s">
        <v>26</v>
      </c>
      <c r="J6" s="69"/>
      <c r="K6" s="70"/>
      <c r="M6" s="22" t="s">
        <v>13</v>
      </c>
      <c r="N6" s="23" t="s">
        <v>14</v>
      </c>
      <c r="O6" s="23" t="s">
        <v>15</v>
      </c>
      <c r="P6" s="23" t="s">
        <v>16</v>
      </c>
      <c r="Q6" s="9" t="s">
        <v>17</v>
      </c>
    </row>
    <row r="7" spans="1:27" ht="21.75" customHeight="1" x14ac:dyDescent="0.3">
      <c r="A7" s="53" t="s">
        <v>18</v>
      </c>
      <c r="B7" s="12" t="str">
        <f>Q8</f>
        <v>República Tcheca</v>
      </c>
      <c r="C7" s="13"/>
      <c r="D7" s="14">
        <v>1</v>
      </c>
      <c r="E7" s="15" t="s">
        <v>9</v>
      </c>
      <c r="F7" s="14">
        <v>1</v>
      </c>
      <c r="G7" s="13"/>
      <c r="H7" s="16" t="str">
        <f>Q6</f>
        <v>África do Sul</v>
      </c>
      <c r="I7" s="68" t="s">
        <v>19</v>
      </c>
      <c r="J7" s="69"/>
      <c r="K7" s="70"/>
      <c r="M7" s="23" t="s">
        <v>20</v>
      </c>
      <c r="N7" s="23" t="s">
        <v>21</v>
      </c>
      <c r="O7" s="23" t="s">
        <v>22</v>
      </c>
      <c r="P7" s="23" t="s">
        <v>23</v>
      </c>
      <c r="Q7" s="9" t="s">
        <v>24</v>
      </c>
    </row>
    <row r="8" spans="1:27" ht="21.75" customHeight="1" x14ac:dyDescent="0.3">
      <c r="A8" s="54" t="s">
        <v>25</v>
      </c>
      <c r="B8" s="18" t="str">
        <f>Q5</f>
        <v>México</v>
      </c>
      <c r="C8" s="19"/>
      <c r="D8" s="14">
        <v>1</v>
      </c>
      <c r="E8" s="20" t="s">
        <v>9</v>
      </c>
      <c r="F8" s="14">
        <v>0</v>
      </c>
      <c r="G8" s="19"/>
      <c r="H8" s="21" t="str">
        <f>Q7</f>
        <v>Coreia do Sul</v>
      </c>
      <c r="I8" s="71" t="s">
        <v>26</v>
      </c>
      <c r="J8" s="69"/>
      <c r="K8" s="70"/>
      <c r="M8" s="23" t="s">
        <v>27</v>
      </c>
      <c r="N8" s="23" t="s">
        <v>28</v>
      </c>
      <c r="O8" s="23" t="s">
        <v>29</v>
      </c>
      <c r="P8" s="23" t="s">
        <v>30</v>
      </c>
      <c r="Q8" s="9" t="s">
        <v>31</v>
      </c>
    </row>
    <row r="9" spans="1:27" ht="21.75" customHeight="1" x14ac:dyDescent="0.3">
      <c r="A9" s="53" t="s">
        <v>32</v>
      </c>
      <c r="B9" s="12" t="str">
        <f>Q8</f>
        <v>República Tcheca</v>
      </c>
      <c r="C9" s="13"/>
      <c r="D9" s="14"/>
      <c r="E9" s="15" t="s">
        <v>9</v>
      </c>
      <c r="F9" s="14"/>
      <c r="G9" s="13"/>
      <c r="H9" s="16" t="str">
        <f>Q5</f>
        <v>México</v>
      </c>
      <c r="I9" s="68" t="s">
        <v>33</v>
      </c>
      <c r="J9" s="69"/>
      <c r="K9" s="70"/>
    </row>
    <row r="10" spans="1:27" ht="21.75" customHeight="1" x14ac:dyDescent="0.3">
      <c r="A10" s="54" t="s">
        <v>32</v>
      </c>
      <c r="B10" s="18" t="str">
        <f>Q6</f>
        <v>África do Sul</v>
      </c>
      <c r="C10" s="19"/>
      <c r="D10" s="14"/>
      <c r="E10" s="20" t="s">
        <v>9</v>
      </c>
      <c r="F10" s="14"/>
      <c r="G10" s="19"/>
      <c r="H10" s="21" t="str">
        <f>Q7</f>
        <v>Coreia do Sul</v>
      </c>
      <c r="I10" s="71" t="s">
        <v>34</v>
      </c>
      <c r="J10" s="69"/>
      <c r="K10" s="70"/>
      <c r="M10" s="74" t="s">
        <v>35</v>
      </c>
      <c r="N10" s="66"/>
      <c r="O10" s="66"/>
      <c r="P10" s="66"/>
    </row>
    <row r="11" spans="1:27" ht="7.5" customHeight="1" x14ac:dyDescent="0.3"/>
    <row r="12" spans="1:27" ht="19.5" customHeight="1" x14ac:dyDescent="0.3">
      <c r="A12" s="72" t="s">
        <v>36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27" ht="18" customHeight="1" x14ac:dyDescent="0.3">
      <c r="A13" s="10" t="s">
        <v>37</v>
      </c>
      <c r="B13" s="10" t="s">
        <v>38</v>
      </c>
      <c r="C13" s="10"/>
      <c r="D13" s="10"/>
      <c r="E13" s="10"/>
      <c r="F13" s="10"/>
      <c r="G13" s="10"/>
      <c r="H13" s="10"/>
      <c r="I13" s="10" t="s">
        <v>28</v>
      </c>
      <c r="J13" s="10" t="s">
        <v>39</v>
      </c>
      <c r="K13" s="10" t="s">
        <v>20</v>
      </c>
      <c r="L13" s="10" t="s">
        <v>16</v>
      </c>
      <c r="M13" s="10" t="s">
        <v>40</v>
      </c>
      <c r="N13" s="10" t="s">
        <v>41</v>
      </c>
      <c r="O13" s="10" t="s">
        <v>42</v>
      </c>
      <c r="P13" s="10" t="s">
        <v>43</v>
      </c>
    </row>
    <row r="14" spans="1:27" ht="21.75" customHeight="1" x14ac:dyDescent="0.3">
      <c r="A14" s="24">
        <v>1</v>
      </c>
      <c r="B14" s="16" t="str">
        <f>INDEX(Q$14:Q$17,MATCH(1,AA$14:AA$17,0))</f>
        <v>México</v>
      </c>
      <c r="C14" s="25"/>
      <c r="D14" s="25"/>
      <c r="E14" s="25"/>
      <c r="F14" s="25"/>
      <c r="G14" s="25"/>
      <c r="H14" s="25"/>
      <c r="I14" s="26">
        <f>INDEX(R$14:R$17,MATCH(1,AA$14:AA$17,0))</f>
        <v>2</v>
      </c>
      <c r="J14" s="26">
        <f>INDEX(S$14:S$17,MATCH(1,AA$14:AA$17,0))</f>
        <v>2</v>
      </c>
      <c r="K14" s="26">
        <f>INDEX(T$14:T$17,MATCH(1,AA$14:AA$17,0))</f>
        <v>0</v>
      </c>
      <c r="L14" s="26">
        <f>INDEX(U$14:U$17,MATCH(1,AA$14:AA$17,0))</f>
        <v>0</v>
      </c>
      <c r="M14" s="26">
        <f>INDEX(V$14:V$17,MATCH(1,AA$14:AA$17,0))</f>
        <v>3</v>
      </c>
      <c r="N14" s="26">
        <f>INDEX(W$14:W$17,MATCH(1,AA$14:AA$17,0))</f>
        <v>0</v>
      </c>
      <c r="O14" s="26">
        <f>INDEX(X$14:X$17,MATCH(1,AA$14:AA$17,0))</f>
        <v>3</v>
      </c>
      <c r="P14" s="27">
        <f>INDEX(Y$14:Y$17,MATCH(1,AA$14:AA$17,0))</f>
        <v>6</v>
      </c>
      <c r="Q14" s="9" t="str">
        <f>Q5</f>
        <v>México</v>
      </c>
      <c r="R14" s="9">
        <f>((D5&lt;&gt;"")*( F5&lt;&gt;""))+((D8&lt;&gt;"")*( F8&lt;&gt;""))+((D9&lt;&gt;"")*( F9&lt;&gt;""))</f>
        <v>2</v>
      </c>
      <c r="S14" s="9">
        <f>IF(AND(D5&lt;&gt;"",F5&lt;&gt;""),IF(D5&gt;F5,1,0),0)+IF(AND(D8&lt;&gt;"",F8&lt;&gt;""),IF(D8&gt;F8,1,0),0)+IF(AND(D9&lt;&gt;"",F9&lt;&gt;""),IF(F9&gt;D9,1,0),0)</f>
        <v>2</v>
      </c>
      <c r="T14" s="9">
        <f>IF(AND(D5&lt;&gt;"",F5&lt;&gt;""),IF(D5=F5,1,0),0)+IF(AND(D8&lt;&gt;"",F8&lt;&gt;""),IF(D8=F8,1,0),0)+IF(AND(D9&lt;&gt;"",F9&lt;&gt;""),IF(D9=F9,1,0),0)</f>
        <v>0</v>
      </c>
      <c r="U14" s="9">
        <f>IF(AND(D5&lt;&gt;"",F5&lt;&gt;""),IF(D5&lt;F5,1,0),0)+IF(AND(D8&lt;&gt;"",F8&lt;&gt;""),IF(D8&lt;F8,1,0),0)+IF(AND(D9&lt;&gt;"",F9&lt;&gt;""),IF(F9&lt;D9,1,0),0)</f>
        <v>0</v>
      </c>
      <c r="V14" s="9">
        <f>IF(D5="",0,D5)+IF(D8="",0,D8)+IF(F9="",0,F9)</f>
        <v>3</v>
      </c>
      <c r="W14" s="9">
        <f>IF(F5="",0,F5)+IF(F8="",0,F8)+IF(D9="",0,D9)</f>
        <v>0</v>
      </c>
      <c r="X14" s="9">
        <f>V14-W14</f>
        <v>3</v>
      </c>
      <c r="Y14" s="9">
        <f>S14*3+T14</f>
        <v>6</v>
      </c>
      <c r="Z14" s="9">
        <f>Y14*1000000+(X14+100)*10000+V14*100+4</f>
        <v>7030304</v>
      </c>
      <c r="AA14" s="9">
        <f>RANK(Z14,Z$14:Z$17,0)</f>
        <v>1</v>
      </c>
    </row>
    <row r="15" spans="1:27" ht="21.75" customHeight="1" x14ac:dyDescent="0.3">
      <c r="A15" s="24">
        <v>2</v>
      </c>
      <c r="B15" s="16" t="str">
        <f>INDEX(Q$14:Q$17,MATCH(2,AA$14:AA$17,0))</f>
        <v>Coreia do Sul</v>
      </c>
      <c r="C15" s="25"/>
      <c r="D15" s="25"/>
      <c r="E15" s="25"/>
      <c r="F15" s="25"/>
      <c r="G15" s="25"/>
      <c r="H15" s="25"/>
      <c r="I15" s="26">
        <f>INDEX(R$14:R$17,MATCH(2,AA$14:AA$17,0))</f>
        <v>2</v>
      </c>
      <c r="J15" s="26">
        <f>INDEX(S$14:S$17,MATCH(2,AA$14:AA$17,0))</f>
        <v>1</v>
      </c>
      <c r="K15" s="26">
        <f>INDEX(T$14:T$17,MATCH(2,AA$14:AA$17,0))</f>
        <v>0</v>
      </c>
      <c r="L15" s="26">
        <f>INDEX(U$14:U$17,MATCH(2,AA$14:AA$17,0))</f>
        <v>1</v>
      </c>
      <c r="M15" s="26">
        <f>INDEX(V$14:V$17,MATCH(2,AA$14:AA$17,0))</f>
        <v>2</v>
      </c>
      <c r="N15" s="26">
        <f>INDEX(W$14:W$17,MATCH(2,AA$14:AA$17,0))</f>
        <v>2</v>
      </c>
      <c r="O15" s="26">
        <f>INDEX(X$14:X$17,MATCH(2,AA$14:AA$17,0))</f>
        <v>0</v>
      </c>
      <c r="P15" s="27">
        <f>INDEX(Y$14:Y$17,MATCH(2,AA$14:AA$17,0))</f>
        <v>3</v>
      </c>
      <c r="Q15" s="9" t="str">
        <f>Q6</f>
        <v>África do Sul</v>
      </c>
      <c r="R15" s="9">
        <f>((D5&lt;&gt;"")*( F5&lt;&gt;""))+((D7&lt;&gt;"")*( F7&lt;&gt;""))+((D10&lt;&gt;"")*( F10&lt;&gt;""))</f>
        <v>2</v>
      </c>
      <c r="S15" s="9">
        <f>IF(AND(D5&lt;&gt;"",F5&lt;&gt;""),IF(F5&gt;D5,1,0),0)+IF(AND(D7&lt;&gt;"",F7&lt;&gt;""),IF(F7&gt;D7,1,0),0)+IF(AND(D10&lt;&gt;"",F10&lt;&gt;""),IF(D10&gt;F10,1,0),0)</f>
        <v>0</v>
      </c>
      <c r="T15" s="9">
        <f>IF(AND(D5&lt;&gt;"",F5&lt;&gt;""),IF(D5=F5,1,0),0)+IF(AND(D7&lt;&gt;"",F7&lt;&gt;""),IF(D7=F7,1,0),0)+IF(AND(D10&lt;&gt;"",F10&lt;&gt;""),IF(D10=F10,1,0),0)</f>
        <v>1</v>
      </c>
      <c r="U15" s="9">
        <f>IF(AND(D5&lt;&gt;"",F5&lt;&gt;""),IF(F5&lt;D5,1,0),0)+IF(AND(D7&lt;&gt;"",F7&lt;&gt;""),IF(F7&lt;D7,1,0),0)+IF(AND(D10&lt;&gt;"",F10&lt;&gt;""),IF(D10&lt;F10,1,0),0)</f>
        <v>1</v>
      </c>
      <c r="V15" s="9">
        <f>IF(F5="",0,F5)+IF(F7="",0,F7)+IF(D10="",0,D10)</f>
        <v>1</v>
      </c>
      <c r="W15" s="9">
        <f>IF(D5="",0,D5)+IF(D7="",0,D7)+IF(F10="",0,F10)</f>
        <v>3</v>
      </c>
      <c r="X15" s="9">
        <f>V15-W15</f>
        <v>-2</v>
      </c>
      <c r="Y15" s="9">
        <f>S15*3+T15</f>
        <v>1</v>
      </c>
      <c r="Z15" s="9">
        <f>Y15*1000000+(X15+100)*10000+V15*100+3</f>
        <v>1980103</v>
      </c>
      <c r="AA15" s="9">
        <f>RANK(Z15,Z$14:Z$17,0)</f>
        <v>4</v>
      </c>
    </row>
    <row r="16" spans="1:27" ht="21.75" customHeight="1" x14ac:dyDescent="0.3">
      <c r="A16" s="28">
        <v>3</v>
      </c>
      <c r="B16" s="16" t="str">
        <f>INDEX(Q$14:Q$17,MATCH(3,AA$14:AA$17,0))</f>
        <v>República Tcheca</v>
      </c>
      <c r="C16" s="25"/>
      <c r="D16" s="25"/>
      <c r="E16" s="25"/>
      <c r="F16" s="25"/>
      <c r="G16" s="25"/>
      <c r="H16" s="25"/>
      <c r="I16" s="26">
        <f>INDEX(R$14:R$17,MATCH(3,AA$14:AA$17,0))</f>
        <v>2</v>
      </c>
      <c r="J16" s="26">
        <f>INDEX(S$14:S$17,MATCH(3,AA$14:AA$17,0))</f>
        <v>0</v>
      </c>
      <c r="K16" s="26">
        <f>INDEX(T$14:T$17,MATCH(3,AA$14:AA$17,0))</f>
        <v>1</v>
      </c>
      <c r="L16" s="26">
        <f>INDEX(U$14:U$17,MATCH(3,AA$14:AA$17,0))</f>
        <v>1</v>
      </c>
      <c r="M16" s="26">
        <f>INDEX(V$14:V$17,MATCH(3,AA$14:AA$17,0))</f>
        <v>2</v>
      </c>
      <c r="N16" s="26">
        <f>INDEX(W$14:W$17,MATCH(3,AA$14:AA$17,0))</f>
        <v>3</v>
      </c>
      <c r="O16" s="26">
        <f>INDEX(X$14:X$17,MATCH(3,AA$14:AA$17,0))</f>
        <v>-1</v>
      </c>
      <c r="P16" s="29">
        <f>INDEX(Y$14:Y$17,MATCH(3,AA$14:AA$17,0))</f>
        <v>1</v>
      </c>
      <c r="Q16" s="9" t="str">
        <f>Q7</f>
        <v>Coreia do Sul</v>
      </c>
      <c r="R16" s="9">
        <f>((D6&lt;&gt;"")*( F6&lt;&gt;""))+((D8&lt;&gt;"")*( F8&lt;&gt;""))+((D10&lt;&gt;"")*( F10&lt;&gt;""))</f>
        <v>2</v>
      </c>
      <c r="S16" s="9">
        <f>IF(AND(D6&lt;&gt;"",F6&lt;&gt;""),IF(D6&gt;F6,1,0),0)+IF(AND(D8&lt;&gt;"",F8&lt;&gt;""),IF(F8&gt;D8,1,0),0)+IF(AND(D10&lt;&gt;"",F10&lt;&gt;""),IF(F10&gt;D10,1,0),0)</f>
        <v>1</v>
      </c>
      <c r="T16" s="9">
        <f>IF(AND(D6&lt;&gt;"",F6&lt;&gt;""),IF(D6=F6,1,0),0)+IF(AND(D8&lt;&gt;"",F8&lt;&gt;""),IF(D8=F8,1,0),0)+IF(AND(D10&lt;&gt;"",F10&lt;&gt;""),IF(D10=F10,1,0),0)</f>
        <v>0</v>
      </c>
      <c r="U16" s="9">
        <f>IF(AND(D6&lt;&gt;"",F6&lt;&gt;""),IF(D6&lt;F6,1,0),0)+IF(AND(D8&lt;&gt;"",F8&lt;&gt;""),IF(F8&lt;D8,1,0),0)+IF(AND(D10&lt;&gt;"",F10&lt;&gt;""),IF(F10&lt;D10,1,0),0)</f>
        <v>1</v>
      </c>
      <c r="V16" s="9">
        <f>IF(D6="",0,D6)+IF(F8="",0,F8)+IF(F10="",0,F10)</f>
        <v>2</v>
      </c>
      <c r="W16" s="9">
        <f>IF(F6="",0,F6)+IF(D8="",0,D8)+IF(D10="",0,D10)</f>
        <v>2</v>
      </c>
      <c r="X16" s="9">
        <f>V16-W16</f>
        <v>0</v>
      </c>
      <c r="Y16" s="9">
        <f>S16*3+T16</f>
        <v>3</v>
      </c>
      <c r="Z16" s="9">
        <f>Y16*1000000+(X16+100)*10000+V16*100+2</f>
        <v>4000202</v>
      </c>
      <c r="AA16" s="9">
        <f>RANK(Z16,Z$14:Z$17,0)</f>
        <v>2</v>
      </c>
    </row>
    <row r="17" spans="1:27" ht="21.75" customHeight="1" x14ac:dyDescent="0.3">
      <c r="A17" s="30">
        <v>4</v>
      </c>
      <c r="B17" s="16" t="str">
        <f>INDEX(Q$14:Q$17,MATCH(4,AA$14:AA$17,0))</f>
        <v>África do Sul</v>
      </c>
      <c r="C17" s="25"/>
      <c r="D17" s="25"/>
      <c r="E17" s="25"/>
      <c r="F17" s="25"/>
      <c r="G17" s="25"/>
      <c r="H17" s="25"/>
      <c r="I17" s="26">
        <f>INDEX(R$14:R$17,MATCH(4,AA$14:AA$17,0))</f>
        <v>2</v>
      </c>
      <c r="J17" s="26">
        <f>INDEX(S$14:S$17,MATCH(4,AA$14:AA$17,0))</f>
        <v>0</v>
      </c>
      <c r="K17" s="26">
        <f>INDEX(T$14:T$17,MATCH(4,AA$14:AA$17,0))</f>
        <v>1</v>
      </c>
      <c r="L17" s="26">
        <f>INDEX(U$14:U$17,MATCH(4,AA$14:AA$17,0))</f>
        <v>1</v>
      </c>
      <c r="M17" s="26">
        <f>INDEX(V$14:V$17,MATCH(4,AA$14:AA$17,0))</f>
        <v>1</v>
      </c>
      <c r="N17" s="26">
        <f>INDEX(W$14:W$17,MATCH(4,AA$14:AA$17,0))</f>
        <v>3</v>
      </c>
      <c r="O17" s="26">
        <f>INDEX(X$14:X$17,MATCH(4,AA$14:AA$17,0))</f>
        <v>-2</v>
      </c>
      <c r="P17" s="31">
        <f>INDEX(Y$14:Y$17,MATCH(4,AA$14:AA$17,0))</f>
        <v>1</v>
      </c>
      <c r="Q17" s="9" t="str">
        <f>Q8</f>
        <v>República Tcheca</v>
      </c>
      <c r="R17" s="9">
        <f>((D6&lt;&gt;"")*( F6&lt;&gt;""))+((D7&lt;&gt;"")*( F7&lt;&gt;""))+((D9&lt;&gt;"")*( F9&lt;&gt;""))</f>
        <v>2</v>
      </c>
      <c r="S17" s="9">
        <f>IF(AND(D6&lt;&gt;"",F6&lt;&gt;""),IF(F6&gt;D6,1,0),0)+IF(AND(D7&lt;&gt;"",F7&lt;&gt;""),IF(D7&gt;F7,1,0),0)+IF(AND(D9&lt;&gt;"",F9&lt;&gt;""),IF(D9&gt;F9,1,0),0)</f>
        <v>0</v>
      </c>
      <c r="T17" s="9">
        <f>IF(AND(D6&lt;&gt;"",F6&lt;&gt;""),IF(D6=F6,1,0),0)+IF(AND(D7&lt;&gt;"",F7&lt;&gt;""),IF(D7=F7,1,0),0)+IF(AND(D9&lt;&gt;"",F9&lt;&gt;""),IF(D9=F9,1,0),0)</f>
        <v>1</v>
      </c>
      <c r="U17" s="9">
        <f>IF(AND(D6&lt;&gt;"",F6&lt;&gt;""),IF(F6&lt;D6,1,0),0)+IF(AND(D7&lt;&gt;"",F7&lt;&gt;""),IF(D7&lt;F7,1,0),0)+IF(AND(D9&lt;&gt;"",F9&lt;&gt;""),IF(D9&lt;F9,1,0),0)</f>
        <v>1</v>
      </c>
      <c r="V17" s="9">
        <f>IF(F6="",0,F6)+IF(D7="",0,D7)+IF(D9="",0,D9)</f>
        <v>2</v>
      </c>
      <c r="W17" s="9">
        <f>IF(D6="",0,D6)+IF(F7="",0,F7)+IF(F9="",0,F9)</f>
        <v>3</v>
      </c>
      <c r="X17" s="9">
        <f>V17-W17</f>
        <v>-1</v>
      </c>
      <c r="Y17" s="9">
        <f>S17*3+T17</f>
        <v>1</v>
      </c>
      <c r="Z17" s="9">
        <f>Y17*1000000+(X17+100)*10000+V17*100+1</f>
        <v>1990201</v>
      </c>
      <c r="AA17" s="9">
        <f>RANK(Z17,Z$14:Z$17,0)</f>
        <v>3</v>
      </c>
    </row>
    <row r="19" spans="1:27" ht="7.5" customHeight="1" x14ac:dyDescent="0.3"/>
    <row r="20" spans="1:27" ht="15.75" customHeight="1" x14ac:dyDescent="0.3">
      <c r="A20" s="73" t="s">
        <v>44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</sheetData>
  <mergeCells count="13">
    <mergeCell ref="A20:P20"/>
    <mergeCell ref="M10:P10"/>
    <mergeCell ref="I4:K4"/>
    <mergeCell ref="I7:K7"/>
    <mergeCell ref="I6:K6"/>
    <mergeCell ref="M5:P5"/>
    <mergeCell ref="I10:K10"/>
    <mergeCell ref="A1:P1"/>
    <mergeCell ref="I5:K5"/>
    <mergeCell ref="I9:K9"/>
    <mergeCell ref="I8:K8"/>
    <mergeCell ref="A12:P12"/>
    <mergeCell ref="A3:P3"/>
  </mergeCells>
  <hyperlinks>
    <hyperlink ref="N6" location="'Gr-B'!A1" display="B" xr:uid="{00000000-0004-0000-0100-000000000000}"/>
    <hyperlink ref="O6" location="'Gr-C'!A1" display="C" xr:uid="{00000000-0004-0000-0100-000001000000}"/>
    <hyperlink ref="P6" location="'Gr-D'!A1" display="D" xr:uid="{00000000-0004-0000-0100-000002000000}"/>
    <hyperlink ref="M7" location="'Gr-E'!A1" display="E" xr:uid="{00000000-0004-0000-0100-000003000000}"/>
    <hyperlink ref="N7" location="'Gr-F'!A1" display="F" xr:uid="{00000000-0004-0000-0100-000004000000}"/>
    <hyperlink ref="O7" location="'Gr-G'!A1" display="G" xr:uid="{00000000-0004-0000-0100-000005000000}"/>
    <hyperlink ref="P7" location="'Gr-H'!A1" display="H" xr:uid="{00000000-0004-0000-0100-000006000000}"/>
    <hyperlink ref="M8" location="'Gr-I'!A1" display="I" xr:uid="{00000000-0004-0000-0100-000007000000}"/>
    <hyperlink ref="N8" location="'Gr-J'!A1" display="J" xr:uid="{00000000-0004-0000-0100-000008000000}"/>
    <hyperlink ref="O8" location="'Gr-K'!A1" display="K" xr:uid="{00000000-0004-0000-0100-000009000000}"/>
    <hyperlink ref="P8" location="'Gr-L'!A1" display="L" xr:uid="{00000000-0004-0000-0100-00000A000000}"/>
    <hyperlink ref="M10" r:id="rId1" xr:uid="{00000000-0004-0000-0100-00000B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O20"/>
  <sheetViews>
    <sheetView showGridLines="0" zoomScaleNormal="100" workbookViewId="0">
      <selection activeCell="AS12" sqref="AS12"/>
    </sheetView>
  </sheetViews>
  <sheetFormatPr defaultColWidth="8.6640625" defaultRowHeight="14.4" x14ac:dyDescent="0.3"/>
  <cols>
    <col min="1" max="1" width="12" customWidth="1"/>
    <col min="2" max="2" width="22" customWidth="1"/>
    <col min="3" max="3" width="3" customWidth="1"/>
    <col min="4" max="4" width="6" customWidth="1"/>
    <col min="5" max="5" width="3" customWidth="1"/>
    <col min="6" max="6" width="6" customWidth="1"/>
    <col min="7" max="7" width="3" customWidth="1"/>
    <col min="8" max="8" width="22" customWidth="1"/>
    <col min="9" max="12" width="4" customWidth="1"/>
    <col min="13" max="16" width="5" customWidth="1"/>
    <col min="17" max="27" width="12" style="9" hidden="1" customWidth="1"/>
    <col min="28" max="28" width="8.21875" style="9" hidden="1" customWidth="1"/>
    <col min="29" max="31" width="8.6640625" style="9" hidden="1" customWidth="1"/>
    <col min="32" max="41" width="8.6640625" hidden="1" customWidth="1"/>
  </cols>
  <sheetData>
    <row r="1" spans="1:27" ht="31.5" customHeight="1" x14ac:dyDescent="0.3">
      <c r="A1" s="67" t="s">
        <v>74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7" ht="6" customHeight="1" x14ac:dyDescent="0.3"/>
    <row r="3" spans="1:27" ht="19.5" customHeight="1" x14ac:dyDescent="0.3">
      <c r="A3" s="72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7" ht="18" customHeight="1" x14ac:dyDescent="0.3">
      <c r="A4" s="10" t="s">
        <v>2</v>
      </c>
      <c r="B4" s="10" t="s">
        <v>3</v>
      </c>
      <c r="D4" s="10" t="s">
        <v>4</v>
      </c>
      <c r="F4" s="10" t="s">
        <v>5</v>
      </c>
      <c r="H4" s="10" t="s">
        <v>6</v>
      </c>
      <c r="I4" s="75" t="s">
        <v>7</v>
      </c>
      <c r="J4" s="69"/>
      <c r="K4" s="70"/>
    </row>
    <row r="5" spans="1:27" ht="21.75" customHeight="1" x14ac:dyDescent="0.3">
      <c r="A5" s="11" t="s">
        <v>75</v>
      </c>
      <c r="B5" s="12" t="str">
        <f>Q5</f>
        <v>Canadá</v>
      </c>
      <c r="C5" s="13"/>
      <c r="D5" s="14">
        <v>1</v>
      </c>
      <c r="E5" s="15" t="s">
        <v>9</v>
      </c>
      <c r="F5" s="14">
        <v>1</v>
      </c>
      <c r="G5" s="13"/>
      <c r="H5" s="16" t="str">
        <f>Q6</f>
        <v>Bósnia-Herzegovina</v>
      </c>
      <c r="I5" s="68" t="s">
        <v>76</v>
      </c>
      <c r="J5" s="69"/>
      <c r="K5" s="70"/>
      <c r="M5" s="76" t="s">
        <v>10</v>
      </c>
      <c r="N5" s="77"/>
      <c r="O5" s="77"/>
      <c r="P5" s="78"/>
      <c r="Q5" s="9" t="s">
        <v>77</v>
      </c>
    </row>
    <row r="6" spans="1:27" ht="21.75" customHeight="1" x14ac:dyDescent="0.3">
      <c r="A6" s="17" t="s">
        <v>78</v>
      </c>
      <c r="B6" s="18" t="str">
        <f>Q7</f>
        <v>Catar</v>
      </c>
      <c r="C6" s="19"/>
      <c r="D6" s="14">
        <v>1</v>
      </c>
      <c r="E6" s="20" t="s">
        <v>9</v>
      </c>
      <c r="F6" s="14">
        <v>1</v>
      </c>
      <c r="G6" s="19"/>
      <c r="H6" s="21" t="str">
        <f>Q8</f>
        <v>Suíça</v>
      </c>
      <c r="I6" s="71" t="s">
        <v>79</v>
      </c>
      <c r="J6" s="69"/>
      <c r="K6" s="70"/>
      <c r="M6" s="23" t="s">
        <v>13</v>
      </c>
      <c r="N6" s="32" t="s">
        <v>14</v>
      </c>
      <c r="O6" s="23" t="s">
        <v>15</v>
      </c>
      <c r="P6" s="23" t="s">
        <v>16</v>
      </c>
      <c r="Q6" s="9" t="s">
        <v>80</v>
      </c>
    </row>
    <row r="7" spans="1:27" ht="21.75" customHeight="1" x14ac:dyDescent="0.3">
      <c r="A7" s="11" t="s">
        <v>81</v>
      </c>
      <c r="B7" s="12" t="str">
        <f>Q8</f>
        <v>Suíça</v>
      </c>
      <c r="C7" s="13"/>
      <c r="D7" s="14">
        <v>4</v>
      </c>
      <c r="E7" s="15" t="s">
        <v>9</v>
      </c>
      <c r="F7" s="14">
        <v>1</v>
      </c>
      <c r="G7" s="13"/>
      <c r="H7" s="16" t="str">
        <f>Q6</f>
        <v>Bósnia-Herzegovina</v>
      </c>
      <c r="I7" s="68" t="s">
        <v>82</v>
      </c>
      <c r="J7" s="69"/>
      <c r="K7" s="70"/>
      <c r="M7" s="23" t="s">
        <v>20</v>
      </c>
      <c r="N7" s="23" t="s">
        <v>21</v>
      </c>
      <c r="O7" s="23" t="s">
        <v>22</v>
      </c>
      <c r="P7" s="23" t="s">
        <v>23</v>
      </c>
      <c r="Q7" s="9" t="s">
        <v>83</v>
      </c>
    </row>
    <row r="8" spans="1:27" ht="21.75" customHeight="1" x14ac:dyDescent="0.3">
      <c r="A8" s="17" t="s">
        <v>84</v>
      </c>
      <c r="B8" s="18" t="str">
        <f>Q5</f>
        <v>Canadá</v>
      </c>
      <c r="C8" s="19"/>
      <c r="D8" s="14">
        <v>6</v>
      </c>
      <c r="E8" s="20" t="s">
        <v>9</v>
      </c>
      <c r="F8" s="14">
        <v>0</v>
      </c>
      <c r="G8" s="19"/>
      <c r="H8" s="21" t="str">
        <f>Q7</f>
        <v>Catar</v>
      </c>
      <c r="I8" s="71" t="s">
        <v>85</v>
      </c>
      <c r="J8" s="69"/>
      <c r="K8" s="70"/>
      <c r="M8" s="23" t="s">
        <v>27</v>
      </c>
      <c r="N8" s="23" t="s">
        <v>28</v>
      </c>
      <c r="O8" s="23" t="s">
        <v>29</v>
      </c>
      <c r="P8" s="23" t="s">
        <v>30</v>
      </c>
      <c r="Q8" s="9" t="s">
        <v>86</v>
      </c>
    </row>
    <row r="9" spans="1:27" ht="21.75" customHeight="1" x14ac:dyDescent="0.3">
      <c r="A9" s="11" t="s">
        <v>87</v>
      </c>
      <c r="B9" s="12" t="str">
        <f>Q8</f>
        <v>Suíça</v>
      </c>
      <c r="C9" s="13"/>
      <c r="D9" s="14"/>
      <c r="E9" s="15" t="s">
        <v>9</v>
      </c>
      <c r="F9" s="14"/>
      <c r="G9" s="13"/>
      <c r="H9" s="16" t="str">
        <f>Q5</f>
        <v>Canadá</v>
      </c>
      <c r="I9" s="68" t="s">
        <v>85</v>
      </c>
      <c r="J9" s="69"/>
      <c r="K9" s="70"/>
    </row>
    <row r="10" spans="1:27" ht="21.75" customHeight="1" x14ac:dyDescent="0.3">
      <c r="A10" s="17" t="s">
        <v>87</v>
      </c>
      <c r="B10" s="18" t="str">
        <f>Q6</f>
        <v>Bósnia-Herzegovina</v>
      </c>
      <c r="C10" s="19"/>
      <c r="D10" s="14"/>
      <c r="E10" s="20" t="s">
        <v>9</v>
      </c>
      <c r="F10" s="14"/>
      <c r="G10" s="19"/>
      <c r="H10" s="21" t="str">
        <f>Q7</f>
        <v>Catar</v>
      </c>
      <c r="I10" s="71" t="s">
        <v>88</v>
      </c>
      <c r="J10" s="69"/>
      <c r="K10" s="70"/>
      <c r="M10" s="74" t="s">
        <v>35</v>
      </c>
      <c r="N10" s="66"/>
      <c r="O10" s="66"/>
      <c r="P10" s="66"/>
    </row>
    <row r="11" spans="1:27" ht="7.5" customHeight="1" x14ac:dyDescent="0.3"/>
    <row r="12" spans="1:27" ht="19.5" customHeight="1" x14ac:dyDescent="0.3">
      <c r="A12" s="72" t="s">
        <v>36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27" ht="18" customHeight="1" x14ac:dyDescent="0.3">
      <c r="A13" s="10" t="s">
        <v>37</v>
      </c>
      <c r="B13" s="10" t="s">
        <v>38</v>
      </c>
      <c r="C13" s="10"/>
      <c r="D13" s="10"/>
      <c r="E13" s="10"/>
      <c r="F13" s="10"/>
      <c r="G13" s="10"/>
      <c r="H13" s="10"/>
      <c r="I13" s="10" t="s">
        <v>28</v>
      </c>
      <c r="J13" s="10" t="s">
        <v>39</v>
      </c>
      <c r="K13" s="10" t="s">
        <v>20</v>
      </c>
      <c r="L13" s="10" t="s">
        <v>16</v>
      </c>
      <c r="M13" s="10" t="s">
        <v>40</v>
      </c>
      <c r="N13" s="10" t="s">
        <v>41</v>
      </c>
      <c r="O13" s="10" t="s">
        <v>42</v>
      </c>
      <c r="P13" s="10" t="s">
        <v>43</v>
      </c>
    </row>
    <row r="14" spans="1:27" ht="21.75" customHeight="1" x14ac:dyDescent="0.3">
      <c r="A14" s="24">
        <v>1</v>
      </c>
      <c r="B14" s="16" t="str">
        <f>INDEX(Q$14:Q$17,MATCH(1,AA$14:AA$17,0))</f>
        <v>Canadá</v>
      </c>
      <c r="C14" s="25"/>
      <c r="D14" s="25"/>
      <c r="E14" s="25"/>
      <c r="F14" s="25"/>
      <c r="G14" s="25"/>
      <c r="H14" s="25"/>
      <c r="I14" s="26">
        <f>INDEX(R$14:R$17,MATCH(1,AA$14:AA$17,0))</f>
        <v>2</v>
      </c>
      <c r="J14" s="26">
        <f>INDEX(S$14:S$17,MATCH(1,AA$14:AA$17,0))</f>
        <v>1</v>
      </c>
      <c r="K14" s="26">
        <f>INDEX(T$14:T$17,MATCH(1,AA$14:AA$17,0))</f>
        <v>1</v>
      </c>
      <c r="L14" s="26">
        <f>INDEX(U$14:U$17,MATCH(1,AA$14:AA$17,0))</f>
        <v>0</v>
      </c>
      <c r="M14" s="26">
        <f>INDEX(V$14:V$17,MATCH(1,AA$14:AA$17,0))</f>
        <v>7</v>
      </c>
      <c r="N14" s="26">
        <f>INDEX(W$14:W$17,MATCH(1,AA$14:AA$17,0))</f>
        <v>1</v>
      </c>
      <c r="O14" s="26">
        <f>INDEX(X$14:X$17,MATCH(1,AA$14:AA$17,0))</f>
        <v>6</v>
      </c>
      <c r="P14" s="27">
        <f>INDEX(Y$14:Y$17,MATCH(1,AA$14:AA$17,0))</f>
        <v>4</v>
      </c>
      <c r="Q14" s="9" t="str">
        <f>Q5</f>
        <v>Canadá</v>
      </c>
      <c r="R14" s="9">
        <f>((D5&lt;&gt;"")*( F5&lt;&gt;""))+((D8&lt;&gt;"")*( F8&lt;&gt;""))+((D9&lt;&gt;"")*( F9&lt;&gt;""))</f>
        <v>2</v>
      </c>
      <c r="S14" s="9">
        <f>IF(AND(D5&lt;&gt;"",F5&lt;&gt;""),IF(D5&gt;F5,1,0),0)+IF(AND(D8&lt;&gt;"",F8&lt;&gt;""),IF(D8&gt;F8,1,0),0)+IF(AND(D9&lt;&gt;"",F9&lt;&gt;""),IF(F9&gt;D9,1,0),0)</f>
        <v>1</v>
      </c>
      <c r="T14" s="9">
        <f>IF(AND(D5&lt;&gt;"",F5&lt;&gt;""),IF(D5=F5,1,0),0)+IF(AND(D8&lt;&gt;"",F8&lt;&gt;""),IF(D8=F8,1,0),0)+IF(AND(D9&lt;&gt;"",F9&lt;&gt;""),IF(D9=F9,1,0),0)</f>
        <v>1</v>
      </c>
      <c r="U14" s="9">
        <f>IF(AND(D5&lt;&gt;"",F5&lt;&gt;""),IF(D5&lt;F5,1,0),0)+IF(AND(D8&lt;&gt;"",F8&lt;&gt;""),IF(D8&lt;F8,1,0),0)+IF(AND(D9&lt;&gt;"",F9&lt;&gt;""),IF(F9&lt;D9,1,0),0)</f>
        <v>0</v>
      </c>
      <c r="V14" s="9">
        <f>IF(D5="",0,D5)+IF(D8="",0,D8)+IF(F9="",0,F9)</f>
        <v>7</v>
      </c>
      <c r="W14" s="9">
        <f>IF(F5="",0,F5)+IF(F8="",0,F8)+IF(D9="",0,D9)</f>
        <v>1</v>
      </c>
      <c r="X14" s="9">
        <f>V14-W14</f>
        <v>6</v>
      </c>
      <c r="Y14" s="9">
        <f>S14*3+T14</f>
        <v>4</v>
      </c>
      <c r="Z14" s="9">
        <f>Y14*1000000+(X14+100)*10000+V14*100+4</f>
        <v>5060704</v>
      </c>
      <c r="AA14" s="9">
        <f>RANK(Z14,Z$14:Z$17,0)</f>
        <v>1</v>
      </c>
    </row>
    <row r="15" spans="1:27" ht="21.75" customHeight="1" x14ac:dyDescent="0.3">
      <c r="A15" s="24">
        <v>2</v>
      </c>
      <c r="B15" s="16" t="str">
        <f>INDEX(Q$14:Q$17,MATCH(2,AA$14:AA$17,0))</f>
        <v>Suíça</v>
      </c>
      <c r="C15" s="25"/>
      <c r="D15" s="25"/>
      <c r="E15" s="25"/>
      <c r="F15" s="25"/>
      <c r="G15" s="25"/>
      <c r="H15" s="25"/>
      <c r="I15" s="26">
        <f>INDEX(R$14:R$17,MATCH(2,AA$14:AA$17,0))</f>
        <v>2</v>
      </c>
      <c r="J15" s="26">
        <f>INDEX(S$14:S$17,MATCH(2,AA$14:AA$17,0))</f>
        <v>1</v>
      </c>
      <c r="K15" s="26">
        <f>INDEX(T$14:T$17,MATCH(2,AA$14:AA$17,0))</f>
        <v>1</v>
      </c>
      <c r="L15" s="26">
        <f>INDEX(U$14:U$17,MATCH(2,AA$14:AA$17,0))</f>
        <v>0</v>
      </c>
      <c r="M15" s="26">
        <f>INDEX(V$14:V$17,MATCH(2,AA$14:AA$17,0))</f>
        <v>5</v>
      </c>
      <c r="N15" s="26">
        <f>INDEX(W$14:W$17,MATCH(2,AA$14:AA$17,0))</f>
        <v>2</v>
      </c>
      <c r="O15" s="26">
        <f>INDEX(X$14:X$17,MATCH(2,AA$14:AA$17,0))</f>
        <v>3</v>
      </c>
      <c r="P15" s="27">
        <f>INDEX(Y$14:Y$17,MATCH(2,AA$14:AA$17,0))</f>
        <v>4</v>
      </c>
      <c r="Q15" s="9" t="str">
        <f>Q6</f>
        <v>Bósnia-Herzegovina</v>
      </c>
      <c r="R15" s="9">
        <f>((D5&lt;&gt;"")*( F5&lt;&gt;""))+((D7&lt;&gt;"")*( F7&lt;&gt;""))+((D10&lt;&gt;"")*( F10&lt;&gt;""))</f>
        <v>2</v>
      </c>
      <c r="S15" s="9">
        <f>IF(AND(D5&lt;&gt;"",F5&lt;&gt;""),IF(F5&gt;D5,1,0),0)+IF(AND(D7&lt;&gt;"",F7&lt;&gt;""),IF(F7&gt;D7,1,0),0)+IF(AND(D10&lt;&gt;"",F10&lt;&gt;""),IF(D10&gt;F10,1,0),0)</f>
        <v>0</v>
      </c>
      <c r="T15" s="9">
        <f>IF(AND(D5&lt;&gt;"",F5&lt;&gt;""),IF(D5=F5,1,0),0)+IF(AND(D7&lt;&gt;"",F7&lt;&gt;""),IF(D7=F7,1,0),0)+IF(AND(D10&lt;&gt;"",F10&lt;&gt;""),IF(D10=F10,1,0),0)</f>
        <v>1</v>
      </c>
      <c r="U15" s="9">
        <f>IF(AND(D5&lt;&gt;"",F5&lt;&gt;""),IF(F5&lt;D5,1,0),0)+IF(AND(D7&lt;&gt;"",F7&lt;&gt;""),IF(F7&lt;D7,1,0),0)+IF(AND(D10&lt;&gt;"",F10&lt;&gt;""),IF(D10&lt;F10,1,0),0)</f>
        <v>1</v>
      </c>
      <c r="V15" s="9">
        <f>IF(F5="",0,F5)+IF(F7="",0,F7)+IF(D10="",0,D10)</f>
        <v>2</v>
      </c>
      <c r="W15" s="9">
        <f>IF(D5="",0,D5)+IF(D7="",0,D7)+IF(F10="",0,F10)</f>
        <v>5</v>
      </c>
      <c r="X15" s="9">
        <f>V15-W15</f>
        <v>-3</v>
      </c>
      <c r="Y15" s="9">
        <f>S15*3+T15</f>
        <v>1</v>
      </c>
      <c r="Z15" s="9">
        <f>Y15*1000000+(X15+100)*10000+V15*100+3</f>
        <v>1970203</v>
      </c>
      <c r="AA15" s="9">
        <f>RANK(Z15,Z$14:Z$17,0)</f>
        <v>3</v>
      </c>
    </row>
    <row r="16" spans="1:27" ht="21.75" customHeight="1" x14ac:dyDescent="0.3">
      <c r="A16" s="28">
        <v>3</v>
      </c>
      <c r="B16" s="16" t="str">
        <f>INDEX(Q$14:Q$17,MATCH(3,AA$14:AA$17,0))</f>
        <v>Bósnia-Herzegovina</v>
      </c>
      <c r="C16" s="25"/>
      <c r="D16" s="25"/>
      <c r="E16" s="25"/>
      <c r="F16" s="25"/>
      <c r="G16" s="25"/>
      <c r="H16" s="25"/>
      <c r="I16" s="26">
        <f>INDEX(R$14:R$17,MATCH(3,AA$14:AA$17,0))</f>
        <v>2</v>
      </c>
      <c r="J16" s="26">
        <f>INDEX(S$14:S$17,MATCH(3,AA$14:AA$17,0))</f>
        <v>0</v>
      </c>
      <c r="K16" s="26">
        <f>INDEX(T$14:T$17,MATCH(3,AA$14:AA$17,0))</f>
        <v>1</v>
      </c>
      <c r="L16" s="26">
        <f>INDEX(U$14:U$17,MATCH(3,AA$14:AA$17,0))</f>
        <v>1</v>
      </c>
      <c r="M16" s="26">
        <f>INDEX(V$14:V$17,MATCH(3,AA$14:AA$17,0))</f>
        <v>2</v>
      </c>
      <c r="N16" s="26">
        <f>INDEX(W$14:W$17,MATCH(3,AA$14:AA$17,0))</f>
        <v>5</v>
      </c>
      <c r="O16" s="26">
        <f>INDEX(X$14:X$17,MATCH(3,AA$14:AA$17,0))</f>
        <v>-3</v>
      </c>
      <c r="P16" s="29">
        <f>INDEX(Y$14:Y$17,MATCH(3,AA$14:AA$17,0))</f>
        <v>1</v>
      </c>
      <c r="Q16" s="9" t="str">
        <f>Q7</f>
        <v>Catar</v>
      </c>
      <c r="R16" s="9">
        <f>((D6&lt;&gt;"")*( F6&lt;&gt;""))+((D8&lt;&gt;"")*( F8&lt;&gt;""))+((D10&lt;&gt;"")*( F10&lt;&gt;""))</f>
        <v>2</v>
      </c>
      <c r="S16" s="9">
        <f>IF(AND(D6&lt;&gt;"",F6&lt;&gt;""),IF(D6&gt;F6,1,0),0)+IF(AND(D8&lt;&gt;"",F8&lt;&gt;""),IF(F8&gt;D8,1,0),0)+IF(AND(D10&lt;&gt;"",F10&lt;&gt;""),IF(F10&gt;D10,1,0),0)</f>
        <v>0</v>
      </c>
      <c r="T16" s="9">
        <f>IF(AND(D6&lt;&gt;"",F6&lt;&gt;""),IF(D6=F6,1,0),0)+IF(AND(D8&lt;&gt;"",F8&lt;&gt;""),IF(D8=F8,1,0),0)+IF(AND(D10&lt;&gt;"",F10&lt;&gt;""),IF(D10=F10,1,0),0)</f>
        <v>1</v>
      </c>
      <c r="U16" s="9">
        <f>IF(AND(D6&lt;&gt;"",F6&lt;&gt;""),IF(D6&lt;F6,1,0),0)+IF(AND(D8&lt;&gt;"",F8&lt;&gt;""),IF(F8&lt;D8,1,0),0)+IF(AND(D10&lt;&gt;"",F10&lt;&gt;""),IF(F10&lt;D10,1,0),0)</f>
        <v>1</v>
      </c>
      <c r="V16" s="9">
        <f>IF(D6="",0,D6)+IF(F8="",0,F8)+IF(F10="",0,F10)</f>
        <v>1</v>
      </c>
      <c r="W16" s="9">
        <f>IF(F6="",0,F6)+IF(D8="",0,D8)+IF(D10="",0,D10)</f>
        <v>7</v>
      </c>
      <c r="X16" s="9">
        <f>V16-W16</f>
        <v>-6</v>
      </c>
      <c r="Y16" s="9">
        <f>S16*3+T16</f>
        <v>1</v>
      </c>
      <c r="Z16" s="9">
        <f>Y16*1000000+(X16+100)*10000+V16*100+2</f>
        <v>1940102</v>
      </c>
      <c r="AA16" s="9">
        <f>RANK(Z16,Z$14:Z$17,0)</f>
        <v>4</v>
      </c>
    </row>
    <row r="17" spans="1:27" ht="21.75" customHeight="1" x14ac:dyDescent="0.3">
      <c r="A17" s="30">
        <v>4</v>
      </c>
      <c r="B17" s="16" t="str">
        <f>INDEX(Q$14:Q$17,MATCH(4,AA$14:AA$17,0))</f>
        <v>Catar</v>
      </c>
      <c r="C17" s="25"/>
      <c r="D17" s="25"/>
      <c r="E17" s="25"/>
      <c r="F17" s="25"/>
      <c r="G17" s="25"/>
      <c r="H17" s="25"/>
      <c r="I17" s="26">
        <f>INDEX(R$14:R$17,MATCH(4,AA$14:AA$17,0))</f>
        <v>2</v>
      </c>
      <c r="J17" s="26">
        <f>INDEX(S$14:S$17,MATCH(4,AA$14:AA$17,0))</f>
        <v>0</v>
      </c>
      <c r="K17" s="26">
        <f>INDEX(T$14:T$17,MATCH(4,AA$14:AA$17,0))</f>
        <v>1</v>
      </c>
      <c r="L17" s="26">
        <f>INDEX(U$14:U$17,MATCH(4,AA$14:AA$17,0))</f>
        <v>1</v>
      </c>
      <c r="M17" s="26">
        <f>INDEX(V$14:V$17,MATCH(4,AA$14:AA$17,0))</f>
        <v>1</v>
      </c>
      <c r="N17" s="26">
        <f>INDEX(W$14:W$17,MATCH(4,AA$14:AA$17,0))</f>
        <v>7</v>
      </c>
      <c r="O17" s="26">
        <f>INDEX(X$14:X$17,MATCH(4,AA$14:AA$17,0))</f>
        <v>-6</v>
      </c>
      <c r="P17" s="31">
        <f>INDEX(Y$14:Y$17,MATCH(4,AA$14:AA$17,0))</f>
        <v>1</v>
      </c>
      <c r="Q17" s="9" t="str">
        <f>Q8</f>
        <v>Suíça</v>
      </c>
      <c r="R17" s="9">
        <f>((D6&lt;&gt;"")*( F6&lt;&gt;""))+((D7&lt;&gt;"")*( F7&lt;&gt;""))+((D9&lt;&gt;"")*( F9&lt;&gt;""))</f>
        <v>2</v>
      </c>
      <c r="S17" s="9">
        <f>IF(AND(D6&lt;&gt;"",F6&lt;&gt;""),IF(F6&gt;D6,1,0),0)+IF(AND(D7&lt;&gt;"",F7&lt;&gt;""),IF(D7&gt;F7,1,0),0)+IF(AND(D9&lt;&gt;"",F9&lt;&gt;""),IF(D9&gt;F9,1,0),0)</f>
        <v>1</v>
      </c>
      <c r="T17" s="9">
        <f>IF(AND(D6&lt;&gt;"",F6&lt;&gt;""),IF(D6=F6,1,0),0)+IF(AND(D7&lt;&gt;"",F7&lt;&gt;""),IF(D7=F7,1,0),0)+IF(AND(D9&lt;&gt;"",F9&lt;&gt;""),IF(D9=F9,1,0),0)</f>
        <v>1</v>
      </c>
      <c r="U17" s="9">
        <f>IF(AND(D6&lt;&gt;"",F6&lt;&gt;""),IF(F6&lt;D6,1,0),0)+IF(AND(D7&lt;&gt;"",F7&lt;&gt;""),IF(D7&lt;F7,1,0),0)+IF(AND(D9&lt;&gt;"",F9&lt;&gt;""),IF(D9&lt;F9,1,0),0)</f>
        <v>0</v>
      </c>
      <c r="V17" s="9">
        <f>IF(F6="",0,F6)+IF(D7="",0,D7)+IF(D9="",0,D9)</f>
        <v>5</v>
      </c>
      <c r="W17" s="9">
        <f>IF(D6="",0,D6)+IF(F7="",0,F7)+IF(F9="",0,F9)</f>
        <v>2</v>
      </c>
      <c r="X17" s="9">
        <f>V17-W17</f>
        <v>3</v>
      </c>
      <c r="Y17" s="9">
        <f>S17*3+T17</f>
        <v>4</v>
      </c>
      <c r="Z17" s="9">
        <f>Y17*1000000+(X17+100)*10000+V17*100+1</f>
        <v>5030501</v>
      </c>
      <c r="AA17" s="9">
        <f>RANK(Z17,Z$14:Z$17,0)</f>
        <v>2</v>
      </c>
    </row>
    <row r="19" spans="1:27" ht="7.5" customHeight="1" x14ac:dyDescent="0.3"/>
    <row r="20" spans="1:27" ht="15.75" customHeight="1" x14ac:dyDescent="0.3">
      <c r="A20" s="73" t="s">
        <v>44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</sheetData>
  <mergeCells count="13">
    <mergeCell ref="A20:P20"/>
    <mergeCell ref="M10:P10"/>
    <mergeCell ref="I4:K4"/>
    <mergeCell ref="I7:K7"/>
    <mergeCell ref="I6:K6"/>
    <mergeCell ref="M5:P5"/>
    <mergeCell ref="I10:K10"/>
    <mergeCell ref="A1:P1"/>
    <mergeCell ref="I5:K5"/>
    <mergeCell ref="I9:K9"/>
    <mergeCell ref="I8:K8"/>
    <mergeCell ref="A12:P12"/>
    <mergeCell ref="A3:P3"/>
  </mergeCells>
  <hyperlinks>
    <hyperlink ref="M6" location="'Gr-A'!A1" display="A" xr:uid="{00000000-0004-0000-0200-000000000000}"/>
    <hyperlink ref="O6" location="'Gr-C'!A1" display="C" xr:uid="{00000000-0004-0000-0200-000001000000}"/>
    <hyperlink ref="P6" location="'Gr-D'!A1" display="D" xr:uid="{00000000-0004-0000-0200-000002000000}"/>
    <hyperlink ref="M7" location="'Gr-E'!A1" display="E" xr:uid="{00000000-0004-0000-0200-000003000000}"/>
    <hyperlink ref="N7" location="'Gr-F'!A1" display="F" xr:uid="{00000000-0004-0000-0200-000004000000}"/>
    <hyperlink ref="O7" location="'Gr-G'!A1" display="G" xr:uid="{00000000-0004-0000-0200-000005000000}"/>
    <hyperlink ref="P7" location="'Gr-H'!A1" display="H" xr:uid="{00000000-0004-0000-0200-000006000000}"/>
    <hyperlink ref="M8" location="'Gr-I'!A1" display="I" xr:uid="{00000000-0004-0000-0200-000007000000}"/>
    <hyperlink ref="N8" location="'Gr-J'!A1" display="J" xr:uid="{00000000-0004-0000-0200-000008000000}"/>
    <hyperlink ref="O8" location="'Gr-K'!A1" display="K" xr:uid="{00000000-0004-0000-0200-000009000000}"/>
    <hyperlink ref="P8" location="'Gr-L'!A1" display="L" xr:uid="{00000000-0004-0000-0200-00000A000000}"/>
    <hyperlink ref="M10" r:id="rId1" xr:uid="{00000000-0004-0000-0200-00000B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O20"/>
  <sheetViews>
    <sheetView showGridLines="0" zoomScaleNormal="100" workbookViewId="0">
      <selection activeCell="F10" sqref="F10"/>
    </sheetView>
  </sheetViews>
  <sheetFormatPr defaultColWidth="8.6640625" defaultRowHeight="14.4" x14ac:dyDescent="0.3"/>
  <cols>
    <col min="1" max="1" width="12" customWidth="1"/>
    <col min="2" max="2" width="22" customWidth="1"/>
    <col min="3" max="3" width="3" customWidth="1"/>
    <col min="4" max="4" width="6" customWidth="1"/>
    <col min="5" max="5" width="3" customWidth="1"/>
    <col min="6" max="6" width="6" customWidth="1"/>
    <col min="7" max="7" width="3" customWidth="1"/>
    <col min="8" max="8" width="22" customWidth="1"/>
    <col min="9" max="12" width="4" customWidth="1"/>
    <col min="13" max="16" width="5" customWidth="1"/>
    <col min="17" max="27" width="12" style="9" hidden="1" customWidth="1"/>
    <col min="28" max="28" width="8.21875" style="9" hidden="1" customWidth="1"/>
    <col min="29" max="31" width="8.6640625" style="9" hidden="1" customWidth="1"/>
    <col min="32" max="41" width="8.6640625" hidden="1" customWidth="1"/>
  </cols>
  <sheetData>
    <row r="1" spans="1:27" ht="31.5" customHeight="1" x14ac:dyDescent="0.3">
      <c r="A1" s="67" t="s">
        <v>89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7" ht="6" customHeight="1" x14ac:dyDescent="0.3"/>
    <row r="3" spans="1:27" ht="19.5" customHeight="1" x14ac:dyDescent="0.3">
      <c r="A3" s="72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7" ht="18" customHeight="1" x14ac:dyDescent="0.3">
      <c r="A4" s="10" t="s">
        <v>2</v>
      </c>
      <c r="B4" s="10" t="s">
        <v>3</v>
      </c>
      <c r="D4" s="10" t="s">
        <v>4</v>
      </c>
      <c r="F4" s="10" t="s">
        <v>5</v>
      </c>
      <c r="H4" s="10" t="s">
        <v>6</v>
      </c>
      <c r="I4" s="75" t="s">
        <v>7</v>
      </c>
      <c r="J4" s="69"/>
      <c r="K4" s="70"/>
    </row>
    <row r="5" spans="1:27" ht="21.75" customHeight="1" x14ac:dyDescent="0.3">
      <c r="A5" s="11" t="s">
        <v>90</v>
      </c>
      <c r="B5" s="12" t="str">
        <f>Q5</f>
        <v>Brasil</v>
      </c>
      <c r="C5" s="13"/>
      <c r="D5" s="14">
        <v>1</v>
      </c>
      <c r="E5" s="15" t="s">
        <v>9</v>
      </c>
      <c r="F5" s="14">
        <v>1</v>
      </c>
      <c r="G5" s="13"/>
      <c r="H5" s="16" t="str">
        <f>Q6</f>
        <v>Marrocos</v>
      </c>
      <c r="I5" s="68" t="s">
        <v>91</v>
      </c>
      <c r="J5" s="69"/>
      <c r="K5" s="70"/>
      <c r="M5" s="76" t="s">
        <v>10</v>
      </c>
      <c r="N5" s="77"/>
      <c r="O5" s="77"/>
      <c r="P5" s="78"/>
      <c r="Q5" s="9" t="s">
        <v>92</v>
      </c>
    </row>
    <row r="6" spans="1:27" ht="21.75" customHeight="1" x14ac:dyDescent="0.3">
      <c r="A6" s="17" t="s">
        <v>93</v>
      </c>
      <c r="B6" s="18" t="str">
        <f>Q7</f>
        <v>Haiti</v>
      </c>
      <c r="C6" s="19"/>
      <c r="D6" s="14">
        <v>0</v>
      </c>
      <c r="E6" s="20" t="s">
        <v>9</v>
      </c>
      <c r="F6" s="14">
        <v>1</v>
      </c>
      <c r="G6" s="19"/>
      <c r="H6" s="21" t="str">
        <f>Q8</f>
        <v>Escócia</v>
      </c>
      <c r="I6" s="71" t="s">
        <v>94</v>
      </c>
      <c r="J6" s="69"/>
      <c r="K6" s="70"/>
      <c r="M6" s="23" t="s">
        <v>13</v>
      </c>
      <c r="N6" s="23" t="s">
        <v>14</v>
      </c>
      <c r="O6" s="32" t="s">
        <v>15</v>
      </c>
      <c r="P6" s="23" t="s">
        <v>16</v>
      </c>
      <c r="Q6" s="9" t="s">
        <v>95</v>
      </c>
    </row>
    <row r="7" spans="1:27" ht="21.75" customHeight="1" x14ac:dyDescent="0.3">
      <c r="A7" s="11" t="s">
        <v>96</v>
      </c>
      <c r="B7" s="12" t="str">
        <f>Q8</f>
        <v>Escócia</v>
      </c>
      <c r="C7" s="13"/>
      <c r="D7" s="14">
        <v>0</v>
      </c>
      <c r="E7" s="15" t="s">
        <v>9</v>
      </c>
      <c r="F7" s="14">
        <v>1</v>
      </c>
      <c r="G7" s="13"/>
      <c r="H7" s="16" t="str">
        <f>Q6</f>
        <v>Marrocos</v>
      </c>
      <c r="I7" s="68" t="s">
        <v>94</v>
      </c>
      <c r="J7" s="69"/>
      <c r="K7" s="70"/>
      <c r="M7" s="23" t="s">
        <v>20</v>
      </c>
      <c r="N7" s="23" t="s">
        <v>21</v>
      </c>
      <c r="O7" s="23" t="s">
        <v>22</v>
      </c>
      <c r="P7" s="23" t="s">
        <v>23</v>
      </c>
      <c r="Q7" s="9" t="s">
        <v>97</v>
      </c>
    </row>
    <row r="8" spans="1:27" ht="21.75" customHeight="1" x14ac:dyDescent="0.3">
      <c r="A8" s="17" t="s">
        <v>98</v>
      </c>
      <c r="B8" s="18" t="str">
        <f>Q5</f>
        <v>Brasil</v>
      </c>
      <c r="C8" s="19"/>
      <c r="D8" s="14">
        <v>3</v>
      </c>
      <c r="E8" s="20" t="s">
        <v>9</v>
      </c>
      <c r="F8" s="14">
        <v>0</v>
      </c>
      <c r="G8" s="19"/>
      <c r="H8" s="21" t="str">
        <f>Q7</f>
        <v>Haiti</v>
      </c>
      <c r="I8" s="71" t="s">
        <v>99</v>
      </c>
      <c r="J8" s="69"/>
      <c r="K8" s="70"/>
      <c r="M8" s="23" t="s">
        <v>27</v>
      </c>
      <c r="N8" s="23" t="s">
        <v>28</v>
      </c>
      <c r="O8" s="23" t="s">
        <v>29</v>
      </c>
      <c r="P8" s="23" t="s">
        <v>30</v>
      </c>
      <c r="Q8" s="9" t="s">
        <v>100</v>
      </c>
    </row>
    <row r="9" spans="1:27" ht="21.75" customHeight="1" x14ac:dyDescent="0.3">
      <c r="A9" s="11" t="s">
        <v>101</v>
      </c>
      <c r="B9" s="12" t="str">
        <f>Q6</f>
        <v>Marrocos</v>
      </c>
      <c r="C9" s="13"/>
      <c r="D9" s="14"/>
      <c r="E9" s="15" t="s">
        <v>9</v>
      </c>
      <c r="F9" s="14"/>
      <c r="G9" s="13"/>
      <c r="H9" s="16" t="str">
        <f>Q7</f>
        <v>Haiti</v>
      </c>
      <c r="I9" s="68" t="s">
        <v>19</v>
      </c>
      <c r="J9" s="69"/>
      <c r="K9" s="70"/>
    </row>
    <row r="10" spans="1:27" ht="21.75" customHeight="1" x14ac:dyDescent="0.3">
      <c r="A10" s="17" t="s">
        <v>101</v>
      </c>
      <c r="B10" s="18" t="str">
        <f>Q8</f>
        <v>Escócia</v>
      </c>
      <c r="C10" s="19"/>
      <c r="D10" s="14"/>
      <c r="E10" s="20" t="s">
        <v>9</v>
      </c>
      <c r="F10" s="14"/>
      <c r="G10" s="19"/>
      <c r="H10" s="21" t="str">
        <f>Q5</f>
        <v>Brasil</v>
      </c>
      <c r="I10" s="71" t="s">
        <v>102</v>
      </c>
      <c r="J10" s="69"/>
      <c r="K10" s="70"/>
      <c r="M10" s="74" t="s">
        <v>35</v>
      </c>
      <c r="N10" s="66"/>
      <c r="O10" s="66"/>
      <c r="P10" s="66"/>
    </row>
    <row r="11" spans="1:27" ht="7.5" customHeight="1" x14ac:dyDescent="0.3"/>
    <row r="12" spans="1:27" ht="19.5" customHeight="1" x14ac:dyDescent="0.3">
      <c r="A12" s="72" t="s">
        <v>36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27" ht="18" customHeight="1" x14ac:dyDescent="0.3">
      <c r="A13" s="10" t="s">
        <v>37</v>
      </c>
      <c r="B13" s="10" t="s">
        <v>38</v>
      </c>
      <c r="C13" s="10"/>
      <c r="D13" s="10"/>
      <c r="E13" s="10"/>
      <c r="F13" s="10"/>
      <c r="G13" s="10"/>
      <c r="H13" s="10"/>
      <c r="I13" s="10" t="s">
        <v>28</v>
      </c>
      <c r="J13" s="10" t="s">
        <v>39</v>
      </c>
      <c r="K13" s="10" t="s">
        <v>20</v>
      </c>
      <c r="L13" s="10" t="s">
        <v>16</v>
      </c>
      <c r="M13" s="10" t="s">
        <v>40</v>
      </c>
      <c r="N13" s="10" t="s">
        <v>41</v>
      </c>
      <c r="O13" s="10" t="s">
        <v>42</v>
      </c>
      <c r="P13" s="10" t="s">
        <v>43</v>
      </c>
    </row>
    <row r="14" spans="1:27" ht="21.75" customHeight="1" x14ac:dyDescent="0.3">
      <c r="A14" s="24">
        <v>1</v>
      </c>
      <c r="B14" s="16" t="str">
        <f>INDEX(Q$14:Q$17,MATCH(1,AA$14:AA$17,0))</f>
        <v>Brasil</v>
      </c>
      <c r="C14" s="25"/>
      <c r="D14" s="25"/>
      <c r="E14" s="25"/>
      <c r="F14" s="25"/>
      <c r="G14" s="25"/>
      <c r="H14" s="25"/>
      <c r="I14" s="26">
        <f>INDEX(R$14:R$17,MATCH(1,AA$14:AA$17,0))</f>
        <v>2</v>
      </c>
      <c r="J14" s="26">
        <f>INDEX(S$14:S$17,MATCH(1,AA$14:AA$17,0))</f>
        <v>1</v>
      </c>
      <c r="K14" s="26">
        <f>INDEX(T$14:T$17,MATCH(1,AA$14:AA$17,0))</f>
        <v>1</v>
      </c>
      <c r="L14" s="26">
        <f>INDEX(U$14:U$17,MATCH(1,AA$14:AA$17,0))</f>
        <v>0</v>
      </c>
      <c r="M14" s="26">
        <f>INDEX(V$14:V$17,MATCH(1,AA$14:AA$17,0))</f>
        <v>4</v>
      </c>
      <c r="N14" s="26">
        <f>INDEX(W$14:W$17,MATCH(1,AA$14:AA$17,0))</f>
        <v>1</v>
      </c>
      <c r="O14" s="26">
        <f>INDEX(X$14:X$17,MATCH(1,AA$14:AA$17,0))</f>
        <v>3</v>
      </c>
      <c r="P14" s="27">
        <f>INDEX(Y$14:Y$17,MATCH(1,AA$14:AA$17,0))</f>
        <v>4</v>
      </c>
      <c r="Q14" s="9" t="str">
        <f>Q5</f>
        <v>Brasil</v>
      </c>
      <c r="R14" s="9">
        <f>((D5&lt;&gt;"")*( F5&lt;&gt;""))+((D8&lt;&gt;"")*( F8&lt;&gt;""))+((D10&lt;&gt;"")*( F10&lt;&gt;""))</f>
        <v>2</v>
      </c>
      <c r="S14" s="9">
        <f>IF(AND(D5&lt;&gt;"",F5&lt;&gt;""),IF(D5&gt;F5,1,0),0)+IF(AND(D8&lt;&gt;"",F8&lt;&gt;""),IF(D8&gt;F8,1,0),0)+IF(AND(D10&lt;&gt;"",F10&lt;&gt;""),IF(F10&gt;D10,1,0),0)</f>
        <v>1</v>
      </c>
      <c r="T14" s="9">
        <f>IF(AND(D5&lt;&gt;"",F5&lt;&gt;""),IF(D5=F5,1,0),0)+IF(AND(D8&lt;&gt;"",F8&lt;&gt;""),IF(D8=F8,1,0),0)+IF(AND(D10&lt;&gt;"",F10&lt;&gt;""),IF(D10=F10,1,0),0)</f>
        <v>1</v>
      </c>
      <c r="U14" s="9">
        <f>IF(AND(D5&lt;&gt;"",F5&lt;&gt;""),IF(D5&lt;F5,1,0),0)+IF(AND(D8&lt;&gt;"",F8&lt;&gt;""),IF(D8&lt;F8,1,0),0)+IF(AND(D10&lt;&gt;"",F10&lt;&gt;""),IF(F10&lt;D10,1,0),0)</f>
        <v>0</v>
      </c>
      <c r="V14" s="9">
        <f>IF(D5="",0,D5)+IF(D8="",0,D8)+IF(F10="",0,F10)</f>
        <v>4</v>
      </c>
      <c r="W14" s="9">
        <f>IF(F5="",0,F5)+IF(F8="",0,F8)+IF(D10="",0,D10)</f>
        <v>1</v>
      </c>
      <c r="X14" s="9">
        <f>V14-W14</f>
        <v>3</v>
      </c>
      <c r="Y14" s="9">
        <f>S14*3+T14</f>
        <v>4</v>
      </c>
      <c r="Z14" s="9">
        <f>Y14*1000000+(X14+100)*10000+V14*100+4</f>
        <v>5030404</v>
      </c>
      <c r="AA14" s="9">
        <f>RANK(Z14,Z$14:Z$17,0)</f>
        <v>1</v>
      </c>
    </row>
    <row r="15" spans="1:27" ht="21.75" customHeight="1" x14ac:dyDescent="0.3">
      <c r="A15" s="24">
        <v>2</v>
      </c>
      <c r="B15" s="16" t="str">
        <f>INDEX(Q$14:Q$17,MATCH(2,AA$14:AA$17,0))</f>
        <v>Marrocos</v>
      </c>
      <c r="C15" s="25"/>
      <c r="D15" s="25"/>
      <c r="E15" s="25"/>
      <c r="F15" s="25"/>
      <c r="G15" s="25"/>
      <c r="H15" s="25"/>
      <c r="I15" s="26">
        <f>INDEX(R$14:R$17,MATCH(2,AA$14:AA$17,0))</f>
        <v>2</v>
      </c>
      <c r="J15" s="26">
        <f>INDEX(S$14:S$17,MATCH(2,AA$14:AA$17,0))</f>
        <v>1</v>
      </c>
      <c r="K15" s="26">
        <f>INDEX(T$14:T$17,MATCH(2,AA$14:AA$17,0))</f>
        <v>1</v>
      </c>
      <c r="L15" s="26">
        <f>INDEX(U$14:U$17,MATCH(2,AA$14:AA$17,0))</f>
        <v>0</v>
      </c>
      <c r="M15" s="26">
        <f>INDEX(V$14:V$17,MATCH(2,AA$14:AA$17,0))</f>
        <v>2</v>
      </c>
      <c r="N15" s="26">
        <f>INDEX(W$14:W$17,MATCH(2,AA$14:AA$17,0))</f>
        <v>1</v>
      </c>
      <c r="O15" s="26">
        <f>INDEX(X$14:X$17,MATCH(2,AA$14:AA$17,0))</f>
        <v>1</v>
      </c>
      <c r="P15" s="27">
        <f>INDEX(Y$14:Y$17,MATCH(2,AA$14:AA$17,0))</f>
        <v>4</v>
      </c>
      <c r="Q15" s="9" t="str">
        <f>Q6</f>
        <v>Marrocos</v>
      </c>
      <c r="R15" s="9">
        <f>((D5&lt;&gt;"")*( F5&lt;&gt;""))+((D7&lt;&gt;"")*( F7&lt;&gt;""))+((D9&lt;&gt;"")*( F9&lt;&gt;""))</f>
        <v>2</v>
      </c>
      <c r="S15" s="9">
        <f>IF(AND(D5&lt;&gt;"",F5&lt;&gt;""),IF(F5&gt;D5,1,0),0)+IF(AND(D7&lt;&gt;"",F7&lt;&gt;""),IF(F7&gt;D7,1,0),0)+IF(AND(D9&lt;&gt;"",F9&lt;&gt;""),IF(D9&gt;F9,1,0),0)</f>
        <v>1</v>
      </c>
      <c r="T15" s="9">
        <f>IF(AND(D5&lt;&gt;"",F5&lt;&gt;""),IF(D5=F5,1,0),0)+IF(AND(D7&lt;&gt;"",F7&lt;&gt;""),IF(D7=F7,1,0),0)+IF(AND(D9&lt;&gt;"",F9&lt;&gt;""),IF(D9=F9,1,0),0)</f>
        <v>1</v>
      </c>
      <c r="U15" s="9">
        <f>IF(AND(D5&lt;&gt;"",F5&lt;&gt;""),IF(F5&lt;D5,1,0),0)+IF(AND(D7&lt;&gt;"",F7&lt;&gt;""),IF(F7&lt;D7,1,0),0)+IF(AND(D9&lt;&gt;"",F9&lt;&gt;""),IF(D9&lt;F9,1,0),0)</f>
        <v>0</v>
      </c>
      <c r="V15" s="9">
        <f>IF(F5="",0,F5)+IF(F7="",0,F7)+IF(D9="",0,D9)</f>
        <v>2</v>
      </c>
      <c r="W15" s="9">
        <f>IF(D5="",0,D5)+IF(D7="",0,D7)+IF(F9="",0,F9)</f>
        <v>1</v>
      </c>
      <c r="X15" s="9">
        <f>V15-W15</f>
        <v>1</v>
      </c>
      <c r="Y15" s="9">
        <f>S15*3+T15</f>
        <v>4</v>
      </c>
      <c r="Z15" s="9">
        <f>Y15*1000000+(X15+100)*10000+V15*100+3</f>
        <v>5010203</v>
      </c>
      <c r="AA15" s="9">
        <f>RANK(Z15,Z$14:Z$17,0)</f>
        <v>2</v>
      </c>
    </row>
    <row r="16" spans="1:27" ht="21.75" customHeight="1" x14ac:dyDescent="0.3">
      <c r="A16" s="28">
        <v>3</v>
      </c>
      <c r="B16" s="16" t="str">
        <f>INDEX(Q$14:Q$17,MATCH(3,AA$14:AA$17,0))</f>
        <v>Escócia</v>
      </c>
      <c r="C16" s="25"/>
      <c r="D16" s="25"/>
      <c r="E16" s="25"/>
      <c r="F16" s="25"/>
      <c r="G16" s="25"/>
      <c r="H16" s="25"/>
      <c r="I16" s="26">
        <f>INDEX(R$14:R$17,MATCH(3,AA$14:AA$17,0))</f>
        <v>2</v>
      </c>
      <c r="J16" s="26">
        <f>INDEX(S$14:S$17,MATCH(3,AA$14:AA$17,0))</f>
        <v>1</v>
      </c>
      <c r="K16" s="26">
        <f>INDEX(T$14:T$17,MATCH(3,AA$14:AA$17,0))</f>
        <v>0</v>
      </c>
      <c r="L16" s="26">
        <f>INDEX(U$14:U$17,MATCH(3,AA$14:AA$17,0))</f>
        <v>1</v>
      </c>
      <c r="M16" s="26">
        <f>INDEX(V$14:V$17,MATCH(3,AA$14:AA$17,0))</f>
        <v>1</v>
      </c>
      <c r="N16" s="26">
        <f>INDEX(W$14:W$17,MATCH(3,AA$14:AA$17,0))</f>
        <v>1</v>
      </c>
      <c r="O16" s="26">
        <f>INDEX(X$14:X$17,MATCH(3,AA$14:AA$17,0))</f>
        <v>0</v>
      </c>
      <c r="P16" s="29">
        <f>INDEX(Y$14:Y$17,MATCH(3,AA$14:AA$17,0))</f>
        <v>3</v>
      </c>
      <c r="Q16" s="9" t="str">
        <f>Q7</f>
        <v>Haiti</v>
      </c>
      <c r="R16" s="9">
        <f>((D6&lt;&gt;"")*( F6&lt;&gt;""))+((D8&lt;&gt;"")*( F8&lt;&gt;""))+((D9&lt;&gt;"")*( F9&lt;&gt;""))</f>
        <v>2</v>
      </c>
      <c r="S16" s="9">
        <f>IF(AND(D6&lt;&gt;"",F6&lt;&gt;""),IF(D6&gt;F6,1,0),0)+IF(AND(D8&lt;&gt;"",F8&lt;&gt;""),IF(F8&gt;D8,1,0),0)+IF(AND(D9&lt;&gt;"",F9&lt;&gt;""),IF(F9&gt;D9,1,0),0)</f>
        <v>0</v>
      </c>
      <c r="T16" s="9">
        <f>IF(AND(D6&lt;&gt;"",F6&lt;&gt;""),IF(D6=F6,1,0),0)+IF(AND(D8&lt;&gt;"",F8&lt;&gt;""),IF(D8=F8,1,0),0)+IF(AND(D9&lt;&gt;"",F9&lt;&gt;""),IF(D9=F9,1,0),0)</f>
        <v>0</v>
      </c>
      <c r="U16" s="9">
        <f>IF(AND(D6&lt;&gt;"",F6&lt;&gt;""),IF(D6&lt;F6,1,0),0)+IF(AND(D8&lt;&gt;"",F8&lt;&gt;""),IF(F8&lt;D8,1,0),0)+IF(AND(D9&lt;&gt;"",F9&lt;&gt;""),IF(F9&lt;D9,1,0),0)</f>
        <v>2</v>
      </c>
      <c r="V16" s="9">
        <f>IF(D6="",0,D6)+IF(F8="",0,F8)+IF(F9="",0,F9)</f>
        <v>0</v>
      </c>
      <c r="W16" s="9">
        <f>IF(F6="",0,F6)+IF(D8="",0,D8)+IF(D9="",0,D9)</f>
        <v>4</v>
      </c>
      <c r="X16" s="9">
        <f>V16-W16</f>
        <v>-4</v>
      </c>
      <c r="Y16" s="9">
        <f>S16*3+T16</f>
        <v>0</v>
      </c>
      <c r="Z16" s="9">
        <f>Y16*1000000+(X16+100)*10000+V16*100+2</f>
        <v>960002</v>
      </c>
      <c r="AA16" s="9">
        <f>RANK(Z16,Z$14:Z$17,0)</f>
        <v>4</v>
      </c>
    </row>
    <row r="17" spans="1:27" ht="21.75" customHeight="1" x14ac:dyDescent="0.3">
      <c r="A17" s="30">
        <v>4</v>
      </c>
      <c r="B17" s="16" t="str">
        <f>INDEX(Q$14:Q$17,MATCH(4,AA$14:AA$17,0))</f>
        <v>Haiti</v>
      </c>
      <c r="C17" s="25"/>
      <c r="D17" s="25"/>
      <c r="E17" s="25"/>
      <c r="F17" s="25"/>
      <c r="G17" s="25"/>
      <c r="H17" s="25"/>
      <c r="I17" s="26">
        <f>INDEX(R$14:R$17,MATCH(4,AA$14:AA$17,0))</f>
        <v>2</v>
      </c>
      <c r="J17" s="26">
        <f>INDEX(S$14:S$17,MATCH(4,AA$14:AA$17,0))</f>
        <v>0</v>
      </c>
      <c r="K17" s="26">
        <f>INDEX(T$14:T$17,MATCH(4,AA$14:AA$17,0))</f>
        <v>0</v>
      </c>
      <c r="L17" s="26">
        <f>INDEX(U$14:U$17,MATCH(4,AA$14:AA$17,0))</f>
        <v>2</v>
      </c>
      <c r="M17" s="26">
        <f>INDEX(V$14:V$17,MATCH(4,AA$14:AA$17,0))</f>
        <v>0</v>
      </c>
      <c r="N17" s="26">
        <f>INDEX(W$14:W$17,MATCH(4,AA$14:AA$17,0))</f>
        <v>4</v>
      </c>
      <c r="O17" s="26">
        <f>INDEX(X$14:X$17,MATCH(4,AA$14:AA$17,0))</f>
        <v>-4</v>
      </c>
      <c r="P17" s="31">
        <f>INDEX(Y$14:Y$17,MATCH(4,AA$14:AA$17,0))</f>
        <v>0</v>
      </c>
      <c r="Q17" s="9" t="str">
        <f>Q8</f>
        <v>Escócia</v>
      </c>
      <c r="R17" s="9">
        <f>((D6&lt;&gt;"")*( F6&lt;&gt;""))+((D7&lt;&gt;"")*( F7&lt;&gt;""))+((D10&lt;&gt;"")*( F10&lt;&gt;""))</f>
        <v>2</v>
      </c>
      <c r="S17" s="9">
        <f>IF(AND(D6&lt;&gt;"",F6&lt;&gt;""),IF(F6&gt;D6,1,0),0)+IF(AND(D7&lt;&gt;"",F7&lt;&gt;""),IF(D7&gt;F7,1,0),0)+IF(AND(D10&lt;&gt;"",F10&lt;&gt;""),IF(D10&gt;F10,1,0),0)</f>
        <v>1</v>
      </c>
      <c r="T17" s="9">
        <f>IF(AND(D6&lt;&gt;"",F6&lt;&gt;""),IF(D6=F6,1,0),0)+IF(AND(D7&lt;&gt;"",F7&lt;&gt;""),IF(D7=F7,1,0),0)+IF(AND(D10&lt;&gt;"",F10&lt;&gt;""),IF(D10=F10,1,0),0)</f>
        <v>0</v>
      </c>
      <c r="U17" s="9">
        <f>IF(AND(D6&lt;&gt;"",F6&lt;&gt;""),IF(F6&lt;D6,1,0),0)+IF(AND(D7&lt;&gt;"",F7&lt;&gt;""),IF(D7&lt;F7,1,0),0)+IF(AND(D10&lt;&gt;"",F10&lt;&gt;""),IF(D10&lt;F10,1,0),0)</f>
        <v>1</v>
      </c>
      <c r="V17" s="9">
        <f>IF(F6="",0,F6)+IF(D7="",0,D7)+IF(D10="",0,D10)</f>
        <v>1</v>
      </c>
      <c r="W17" s="9">
        <f>IF(D6="",0,D6)+IF(F7="",0,F7)+IF(F10="",0,F10)</f>
        <v>1</v>
      </c>
      <c r="X17" s="9">
        <f>V17-W17</f>
        <v>0</v>
      </c>
      <c r="Y17" s="9">
        <f>S17*3+T17</f>
        <v>3</v>
      </c>
      <c r="Z17" s="9">
        <f>Y17*1000000+(X17+100)*10000+V17*100+1</f>
        <v>4000101</v>
      </c>
      <c r="AA17" s="9">
        <f>RANK(Z17,Z$14:Z$17,0)</f>
        <v>3</v>
      </c>
    </row>
    <row r="19" spans="1:27" ht="7.5" customHeight="1" x14ac:dyDescent="0.3"/>
    <row r="20" spans="1:27" ht="15.75" customHeight="1" x14ac:dyDescent="0.3">
      <c r="A20" s="73" t="s">
        <v>44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</sheetData>
  <mergeCells count="13">
    <mergeCell ref="A20:P20"/>
    <mergeCell ref="M10:P10"/>
    <mergeCell ref="I4:K4"/>
    <mergeCell ref="I7:K7"/>
    <mergeCell ref="I6:K6"/>
    <mergeCell ref="M5:P5"/>
    <mergeCell ref="I10:K10"/>
    <mergeCell ref="A1:P1"/>
    <mergeCell ref="I5:K5"/>
    <mergeCell ref="I9:K9"/>
    <mergeCell ref="I8:K8"/>
    <mergeCell ref="A12:P12"/>
    <mergeCell ref="A3:P3"/>
  </mergeCells>
  <hyperlinks>
    <hyperlink ref="M6" location="'Gr-A'!A1" display="A" xr:uid="{00000000-0004-0000-0300-000000000000}"/>
    <hyperlink ref="N6" location="'Gr-B'!A1" display="B" xr:uid="{00000000-0004-0000-0300-000001000000}"/>
    <hyperlink ref="P6" location="'Gr-D'!A1" display="D" xr:uid="{00000000-0004-0000-0300-000002000000}"/>
    <hyperlink ref="M7" location="'Gr-E'!A1" display="E" xr:uid="{00000000-0004-0000-0300-000003000000}"/>
    <hyperlink ref="N7" location="'Gr-F'!A1" display="F" xr:uid="{00000000-0004-0000-0300-000004000000}"/>
    <hyperlink ref="O7" location="'Gr-G'!A1" display="G" xr:uid="{00000000-0004-0000-0300-000005000000}"/>
    <hyperlink ref="P7" location="'Gr-H'!A1" display="H" xr:uid="{00000000-0004-0000-0300-000006000000}"/>
    <hyperlink ref="M8" location="'Gr-I'!A1" display="I" xr:uid="{00000000-0004-0000-0300-000007000000}"/>
    <hyperlink ref="N8" location="'Gr-J'!A1" display="J" xr:uid="{00000000-0004-0000-0300-000008000000}"/>
    <hyperlink ref="O8" location="'Gr-K'!A1" display="K" xr:uid="{00000000-0004-0000-0300-000009000000}"/>
    <hyperlink ref="P8" location="'Gr-L'!A1" display="L" xr:uid="{00000000-0004-0000-0300-00000A000000}"/>
    <hyperlink ref="M10" r:id="rId1" xr:uid="{00000000-0004-0000-0300-00000B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AO20"/>
  <sheetViews>
    <sheetView showGridLines="0" zoomScaleNormal="100" workbookViewId="0">
      <selection activeCell="AR10" sqref="AR10"/>
    </sheetView>
  </sheetViews>
  <sheetFormatPr defaultColWidth="8.6640625" defaultRowHeight="14.4" x14ac:dyDescent="0.3"/>
  <cols>
    <col min="1" max="1" width="12" customWidth="1"/>
    <col min="2" max="2" width="22" customWidth="1"/>
    <col min="3" max="3" width="3" customWidth="1"/>
    <col min="4" max="4" width="6" customWidth="1"/>
    <col min="5" max="5" width="3" customWidth="1"/>
    <col min="6" max="6" width="6" customWidth="1"/>
    <col min="7" max="7" width="3" customWidth="1"/>
    <col min="8" max="8" width="22" customWidth="1"/>
    <col min="9" max="12" width="4" customWidth="1"/>
    <col min="13" max="16" width="5" customWidth="1"/>
    <col min="17" max="27" width="12" style="9" hidden="1" customWidth="1"/>
    <col min="28" max="28" width="8.21875" style="9" hidden="1" customWidth="1"/>
    <col min="29" max="31" width="8.6640625" style="9" hidden="1" customWidth="1"/>
    <col min="32" max="41" width="8.6640625" hidden="1" customWidth="1"/>
  </cols>
  <sheetData>
    <row r="1" spans="1:27" ht="31.5" customHeight="1" x14ac:dyDescent="0.3">
      <c r="A1" s="67" t="s">
        <v>103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7" ht="6" customHeight="1" x14ac:dyDescent="0.3"/>
    <row r="3" spans="1:27" ht="19.5" customHeight="1" x14ac:dyDescent="0.3">
      <c r="A3" s="72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7" ht="18" customHeight="1" x14ac:dyDescent="0.3">
      <c r="A4" s="10" t="s">
        <v>2</v>
      </c>
      <c r="B4" s="10" t="s">
        <v>3</v>
      </c>
      <c r="D4" s="10" t="s">
        <v>4</v>
      </c>
      <c r="F4" s="10" t="s">
        <v>5</v>
      </c>
      <c r="H4" s="10" t="s">
        <v>6</v>
      </c>
      <c r="I4" s="75" t="s">
        <v>7</v>
      </c>
      <c r="J4" s="69"/>
      <c r="K4" s="70"/>
    </row>
    <row r="5" spans="1:27" ht="21.75" customHeight="1" x14ac:dyDescent="0.3">
      <c r="A5" s="11" t="s">
        <v>104</v>
      </c>
      <c r="B5" s="12" t="str">
        <f>Q5</f>
        <v>Estados Unidos</v>
      </c>
      <c r="C5" s="13"/>
      <c r="D5" s="14">
        <v>4</v>
      </c>
      <c r="E5" s="15" t="s">
        <v>9</v>
      </c>
      <c r="F5" s="14">
        <v>1</v>
      </c>
      <c r="G5" s="13"/>
      <c r="H5" s="16" t="str">
        <f>Q6</f>
        <v>Paraguai</v>
      </c>
      <c r="I5" s="68" t="s">
        <v>82</v>
      </c>
      <c r="J5" s="69"/>
      <c r="K5" s="70"/>
      <c r="M5" s="76" t="s">
        <v>10</v>
      </c>
      <c r="N5" s="77"/>
      <c r="O5" s="77"/>
      <c r="P5" s="78"/>
      <c r="Q5" s="9" t="s">
        <v>105</v>
      </c>
    </row>
    <row r="6" spans="1:27" ht="21.75" customHeight="1" x14ac:dyDescent="0.3">
      <c r="A6" s="17" t="s">
        <v>106</v>
      </c>
      <c r="B6" s="18" t="str">
        <f>Q7</f>
        <v>Austrália</v>
      </c>
      <c r="C6" s="19"/>
      <c r="D6" s="14">
        <v>2</v>
      </c>
      <c r="E6" s="20" t="s">
        <v>9</v>
      </c>
      <c r="F6" s="14">
        <v>0</v>
      </c>
      <c r="G6" s="19"/>
      <c r="H6" s="21" t="str">
        <f>Q8</f>
        <v>Turquia</v>
      </c>
      <c r="I6" s="71" t="s">
        <v>107</v>
      </c>
      <c r="J6" s="69"/>
      <c r="K6" s="70"/>
      <c r="M6" s="23" t="s">
        <v>13</v>
      </c>
      <c r="N6" s="23" t="s">
        <v>14</v>
      </c>
      <c r="O6" s="23" t="s">
        <v>15</v>
      </c>
      <c r="P6" s="32" t="s">
        <v>16</v>
      </c>
      <c r="Q6" s="9" t="s">
        <v>108</v>
      </c>
    </row>
    <row r="7" spans="1:27" ht="21.75" customHeight="1" x14ac:dyDescent="0.3">
      <c r="A7" s="11" t="s">
        <v>109</v>
      </c>
      <c r="B7" s="12" t="str">
        <f>Q5</f>
        <v>Estados Unidos</v>
      </c>
      <c r="C7" s="13"/>
      <c r="D7" s="14">
        <v>2</v>
      </c>
      <c r="E7" s="15" t="s">
        <v>9</v>
      </c>
      <c r="F7" s="14">
        <v>0</v>
      </c>
      <c r="G7" s="13"/>
      <c r="H7" s="16" t="str">
        <f>Q7</f>
        <v>Austrália</v>
      </c>
      <c r="I7" s="68" t="s">
        <v>88</v>
      </c>
      <c r="J7" s="69"/>
      <c r="K7" s="70"/>
      <c r="M7" s="23" t="s">
        <v>20</v>
      </c>
      <c r="N7" s="23" t="s">
        <v>21</v>
      </c>
      <c r="O7" s="23" t="s">
        <v>22</v>
      </c>
      <c r="P7" s="23" t="s">
        <v>23</v>
      </c>
      <c r="Q7" s="9" t="s">
        <v>110</v>
      </c>
    </row>
    <row r="8" spans="1:27" ht="21.75" customHeight="1" x14ac:dyDescent="0.3">
      <c r="A8" s="17" t="s">
        <v>111</v>
      </c>
      <c r="B8" s="18" t="str">
        <f>Q8</f>
        <v>Turquia</v>
      </c>
      <c r="C8" s="19"/>
      <c r="D8" s="14">
        <v>0</v>
      </c>
      <c r="E8" s="20" t="s">
        <v>9</v>
      </c>
      <c r="F8" s="14">
        <v>1</v>
      </c>
      <c r="G8" s="19"/>
      <c r="H8" s="21" t="str">
        <f>Q6</f>
        <v>Paraguai</v>
      </c>
      <c r="I8" s="71" t="s">
        <v>112</v>
      </c>
      <c r="J8" s="69"/>
      <c r="K8" s="70"/>
      <c r="M8" s="23" t="s">
        <v>27</v>
      </c>
      <c r="N8" s="23" t="s">
        <v>28</v>
      </c>
      <c r="O8" s="23" t="s">
        <v>29</v>
      </c>
      <c r="P8" s="23" t="s">
        <v>30</v>
      </c>
      <c r="Q8" s="9" t="s">
        <v>113</v>
      </c>
    </row>
    <row r="9" spans="1:27" ht="21.75" customHeight="1" x14ac:dyDescent="0.3">
      <c r="A9" s="11" t="s">
        <v>114</v>
      </c>
      <c r="B9" s="12" t="str">
        <f>Q8</f>
        <v>Turquia</v>
      </c>
      <c r="C9" s="13"/>
      <c r="D9" s="14"/>
      <c r="E9" s="15" t="s">
        <v>9</v>
      </c>
      <c r="F9" s="14"/>
      <c r="G9" s="13"/>
      <c r="H9" s="16" t="str">
        <f>Q5</f>
        <v>Estados Unidos</v>
      </c>
      <c r="I9" s="68" t="s">
        <v>82</v>
      </c>
      <c r="J9" s="69"/>
      <c r="K9" s="70"/>
    </row>
    <row r="10" spans="1:27" ht="21.75" customHeight="1" x14ac:dyDescent="0.3">
      <c r="A10" s="17" t="s">
        <v>114</v>
      </c>
      <c r="B10" s="18" t="str">
        <f>Q6</f>
        <v>Paraguai</v>
      </c>
      <c r="C10" s="19"/>
      <c r="D10" s="14"/>
      <c r="E10" s="20" t="s">
        <v>9</v>
      </c>
      <c r="F10" s="14"/>
      <c r="G10" s="19"/>
      <c r="H10" s="21" t="str">
        <f>Q7</f>
        <v>Austrália</v>
      </c>
      <c r="I10" s="71" t="s">
        <v>112</v>
      </c>
      <c r="J10" s="69"/>
      <c r="K10" s="70"/>
      <c r="M10" s="74" t="s">
        <v>35</v>
      </c>
      <c r="N10" s="66"/>
      <c r="O10" s="66"/>
      <c r="P10" s="66"/>
    </row>
    <row r="11" spans="1:27" ht="7.5" customHeight="1" x14ac:dyDescent="0.3"/>
    <row r="12" spans="1:27" ht="19.5" customHeight="1" x14ac:dyDescent="0.3">
      <c r="A12" s="72" t="s">
        <v>36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27" ht="18" customHeight="1" x14ac:dyDescent="0.3">
      <c r="A13" s="10" t="s">
        <v>37</v>
      </c>
      <c r="B13" s="10" t="s">
        <v>38</v>
      </c>
      <c r="C13" s="10"/>
      <c r="D13" s="10"/>
      <c r="E13" s="10"/>
      <c r="F13" s="10"/>
      <c r="G13" s="10"/>
      <c r="H13" s="10"/>
      <c r="I13" s="10" t="s">
        <v>28</v>
      </c>
      <c r="J13" s="10" t="s">
        <v>39</v>
      </c>
      <c r="K13" s="10" t="s">
        <v>20</v>
      </c>
      <c r="L13" s="10" t="s">
        <v>16</v>
      </c>
      <c r="M13" s="10" t="s">
        <v>40</v>
      </c>
      <c r="N13" s="10" t="s">
        <v>41</v>
      </c>
      <c r="O13" s="10" t="s">
        <v>42</v>
      </c>
      <c r="P13" s="10" t="s">
        <v>43</v>
      </c>
    </row>
    <row r="14" spans="1:27" ht="21.75" customHeight="1" x14ac:dyDescent="0.3">
      <c r="A14" s="24">
        <v>1</v>
      </c>
      <c r="B14" s="16" t="str">
        <f>INDEX(Q$14:Q$17,MATCH(1,AA$14:AA$17,0))</f>
        <v>Estados Unidos</v>
      </c>
      <c r="C14" s="25"/>
      <c r="D14" s="25"/>
      <c r="E14" s="25"/>
      <c r="F14" s="25"/>
      <c r="G14" s="25"/>
      <c r="H14" s="25"/>
      <c r="I14" s="26">
        <f>INDEX(R$14:R$17,MATCH(1,AA$14:AA$17,0))</f>
        <v>2</v>
      </c>
      <c r="J14" s="26">
        <f>INDEX(S$14:S$17,MATCH(1,AA$14:AA$17,0))</f>
        <v>2</v>
      </c>
      <c r="K14" s="26">
        <f>INDEX(T$14:T$17,MATCH(1,AA$14:AA$17,0))</f>
        <v>0</v>
      </c>
      <c r="L14" s="26">
        <f>INDEX(U$14:U$17,MATCH(1,AA$14:AA$17,0))</f>
        <v>0</v>
      </c>
      <c r="M14" s="26">
        <f>INDEX(V$14:V$17,MATCH(1,AA$14:AA$17,0))</f>
        <v>6</v>
      </c>
      <c r="N14" s="26">
        <f>INDEX(W$14:W$17,MATCH(1,AA$14:AA$17,0))</f>
        <v>1</v>
      </c>
      <c r="O14" s="26">
        <f>INDEX(X$14:X$17,MATCH(1,AA$14:AA$17,0))</f>
        <v>5</v>
      </c>
      <c r="P14" s="27">
        <f>INDEX(Y$14:Y$17,MATCH(1,AA$14:AA$17,0))</f>
        <v>6</v>
      </c>
      <c r="Q14" s="9" t="str">
        <f>Q5</f>
        <v>Estados Unidos</v>
      </c>
      <c r="R14" s="9">
        <f>((D5&lt;&gt;"")*( F5&lt;&gt;""))+((D7&lt;&gt;"")*( F7&lt;&gt;""))+((D9&lt;&gt;"")*( F9&lt;&gt;""))</f>
        <v>2</v>
      </c>
      <c r="S14" s="9">
        <f>IF(AND(D5&lt;&gt;"",F5&lt;&gt;""),IF(D5&gt;F5,1,0),0)+IF(AND(D7&lt;&gt;"",F7&lt;&gt;""),IF(D7&gt;F7,1,0),0)+IF(AND(D9&lt;&gt;"",F9&lt;&gt;""),IF(F9&gt;D9,1,0),0)</f>
        <v>2</v>
      </c>
      <c r="T14" s="9">
        <f>IF(AND(D5&lt;&gt;"",F5&lt;&gt;""),IF(D5=F5,1,0),0)+IF(AND(D7&lt;&gt;"",F7&lt;&gt;""),IF(D7=F7,1,0),0)+IF(AND(D9&lt;&gt;"",F9&lt;&gt;""),IF(D9=F9,1,0),0)</f>
        <v>0</v>
      </c>
      <c r="U14" s="9">
        <f>IF(AND(D5&lt;&gt;"",F5&lt;&gt;""),IF(D5&lt;F5,1,0),0)+IF(AND(D7&lt;&gt;"",F7&lt;&gt;""),IF(D7&lt;F7,1,0),0)+IF(AND(D9&lt;&gt;"",F9&lt;&gt;""),IF(F9&lt;D9,1,0),0)</f>
        <v>0</v>
      </c>
      <c r="V14" s="9">
        <f>IF(D5="",0,D5)+IF(D7="",0,D7)+IF(F9="",0,F9)</f>
        <v>6</v>
      </c>
      <c r="W14" s="9">
        <f>IF(F5="",0,F5)+IF(F7="",0,F7)+IF(D9="",0,D9)</f>
        <v>1</v>
      </c>
      <c r="X14" s="9">
        <f>V14-W14</f>
        <v>5</v>
      </c>
      <c r="Y14" s="9">
        <f>S14*3+T14</f>
        <v>6</v>
      </c>
      <c r="Z14" s="9">
        <f>Y14*1000000+(X14+100)*10000+V14*100+4</f>
        <v>7050604</v>
      </c>
      <c r="AA14" s="9">
        <f>RANK(Z14,Z$14:Z$17,0)</f>
        <v>1</v>
      </c>
    </row>
    <row r="15" spans="1:27" ht="21.75" customHeight="1" x14ac:dyDescent="0.3">
      <c r="A15" s="24">
        <v>2</v>
      </c>
      <c r="B15" s="16" t="str">
        <f>INDEX(Q$14:Q$17,MATCH(2,AA$14:AA$17,0))</f>
        <v>Austrália</v>
      </c>
      <c r="C15" s="25"/>
      <c r="D15" s="25"/>
      <c r="E15" s="25"/>
      <c r="F15" s="25"/>
      <c r="G15" s="25"/>
      <c r="H15" s="25"/>
      <c r="I15" s="26">
        <f>INDEX(R$14:R$17,MATCH(2,AA$14:AA$17,0))</f>
        <v>2</v>
      </c>
      <c r="J15" s="26">
        <f>INDEX(S$14:S$17,MATCH(2,AA$14:AA$17,0))</f>
        <v>1</v>
      </c>
      <c r="K15" s="26">
        <f>INDEX(T$14:T$17,MATCH(2,AA$14:AA$17,0))</f>
        <v>0</v>
      </c>
      <c r="L15" s="26">
        <f>INDEX(U$14:U$17,MATCH(2,AA$14:AA$17,0))</f>
        <v>1</v>
      </c>
      <c r="M15" s="26">
        <f>INDEX(V$14:V$17,MATCH(2,AA$14:AA$17,0))</f>
        <v>2</v>
      </c>
      <c r="N15" s="26">
        <f>INDEX(W$14:W$17,MATCH(2,AA$14:AA$17,0))</f>
        <v>2</v>
      </c>
      <c r="O15" s="26">
        <f>INDEX(X$14:X$17,MATCH(2,AA$14:AA$17,0))</f>
        <v>0</v>
      </c>
      <c r="P15" s="27">
        <f>INDEX(Y$14:Y$17,MATCH(2,AA$14:AA$17,0))</f>
        <v>3</v>
      </c>
      <c r="Q15" s="9" t="str">
        <f>Q6</f>
        <v>Paraguai</v>
      </c>
      <c r="R15" s="9">
        <f>((D5&lt;&gt;"")*( F5&lt;&gt;""))+((D8&lt;&gt;"")*( F8&lt;&gt;""))+((D10&lt;&gt;"")*( F10&lt;&gt;""))</f>
        <v>2</v>
      </c>
      <c r="S15" s="9">
        <f>IF(AND(D5&lt;&gt;"",F5&lt;&gt;""),IF(F5&gt;D5,1,0),0)+IF(AND(D8&lt;&gt;"",F8&lt;&gt;""),IF(F8&gt;D8,1,0),0)+IF(AND(D10&lt;&gt;"",F10&lt;&gt;""),IF(D10&gt;F10,1,0),0)</f>
        <v>1</v>
      </c>
      <c r="T15" s="9">
        <f>IF(AND(D5&lt;&gt;"",F5&lt;&gt;""),IF(D5=F5,1,0),0)+IF(AND(D8&lt;&gt;"",F8&lt;&gt;""),IF(D8=F8,1,0),0)+IF(AND(D10&lt;&gt;"",F10&lt;&gt;""),IF(D10=F10,1,0),0)</f>
        <v>0</v>
      </c>
      <c r="U15" s="9">
        <f>IF(AND(D5&lt;&gt;"",F5&lt;&gt;""),IF(F5&lt;D5,1,0),0)+IF(AND(D8&lt;&gt;"",F8&lt;&gt;""),IF(F8&lt;D8,1,0),0)+IF(AND(D10&lt;&gt;"",F10&lt;&gt;""),IF(D10&lt;F10,1,0),0)</f>
        <v>1</v>
      </c>
      <c r="V15" s="9">
        <f>IF(F5="",0,F5)+IF(F8="",0,F8)+IF(D10="",0,D10)</f>
        <v>2</v>
      </c>
      <c r="W15" s="9">
        <f>IF(D5="",0,D5)+IF(D8="",0,D8)+IF(F10="",0,F10)</f>
        <v>4</v>
      </c>
      <c r="X15" s="9">
        <f>V15-W15</f>
        <v>-2</v>
      </c>
      <c r="Y15" s="9">
        <f>S15*3+T15</f>
        <v>3</v>
      </c>
      <c r="Z15" s="9">
        <f>Y15*1000000+(X15+100)*10000+V15*100+3</f>
        <v>3980203</v>
      </c>
      <c r="AA15" s="9">
        <f>RANK(Z15,Z$14:Z$17,0)</f>
        <v>3</v>
      </c>
    </row>
    <row r="16" spans="1:27" ht="21.75" customHeight="1" x14ac:dyDescent="0.3">
      <c r="A16" s="28">
        <v>3</v>
      </c>
      <c r="B16" s="16" t="str">
        <f>INDEX(Q$14:Q$17,MATCH(3,AA$14:AA$17,0))</f>
        <v>Paraguai</v>
      </c>
      <c r="C16" s="25"/>
      <c r="D16" s="25"/>
      <c r="E16" s="25"/>
      <c r="F16" s="25"/>
      <c r="G16" s="25"/>
      <c r="H16" s="25"/>
      <c r="I16" s="26">
        <f>INDEX(R$14:R$17,MATCH(3,AA$14:AA$17,0))</f>
        <v>2</v>
      </c>
      <c r="J16" s="26">
        <f>INDEX(S$14:S$17,MATCH(3,AA$14:AA$17,0))</f>
        <v>1</v>
      </c>
      <c r="K16" s="26">
        <f>INDEX(T$14:T$17,MATCH(3,AA$14:AA$17,0))</f>
        <v>0</v>
      </c>
      <c r="L16" s="26">
        <f>INDEX(U$14:U$17,MATCH(3,AA$14:AA$17,0))</f>
        <v>1</v>
      </c>
      <c r="M16" s="26">
        <f>INDEX(V$14:V$17,MATCH(3,AA$14:AA$17,0))</f>
        <v>2</v>
      </c>
      <c r="N16" s="26">
        <f>INDEX(W$14:W$17,MATCH(3,AA$14:AA$17,0))</f>
        <v>4</v>
      </c>
      <c r="O16" s="26">
        <f>INDEX(X$14:X$17,MATCH(3,AA$14:AA$17,0))</f>
        <v>-2</v>
      </c>
      <c r="P16" s="29">
        <f>INDEX(Y$14:Y$17,MATCH(3,AA$14:AA$17,0))</f>
        <v>3</v>
      </c>
      <c r="Q16" s="9" t="str">
        <f>Q7</f>
        <v>Austrália</v>
      </c>
      <c r="R16" s="9">
        <f>((D6&lt;&gt;"")*( F6&lt;&gt;""))+((D7&lt;&gt;"")*( F7&lt;&gt;""))+((D10&lt;&gt;"")*( F10&lt;&gt;""))</f>
        <v>2</v>
      </c>
      <c r="S16" s="9">
        <f>IF(AND(D6&lt;&gt;"",F6&lt;&gt;""),IF(D6&gt;F6,1,0),0)+IF(AND(D7&lt;&gt;"",F7&lt;&gt;""),IF(F7&gt;D7,1,0),0)+IF(AND(D10&lt;&gt;"",F10&lt;&gt;""),IF(F10&gt;D10,1,0),0)</f>
        <v>1</v>
      </c>
      <c r="T16" s="9">
        <f>IF(AND(D6&lt;&gt;"",F6&lt;&gt;""),IF(D6=F6,1,0),0)+IF(AND(D7&lt;&gt;"",F7&lt;&gt;""),IF(D7=F7,1,0),0)+IF(AND(D10&lt;&gt;"",F10&lt;&gt;""),IF(D10=F10,1,0),0)</f>
        <v>0</v>
      </c>
      <c r="U16" s="9">
        <f>IF(AND(D6&lt;&gt;"",F6&lt;&gt;""),IF(D6&lt;F6,1,0),0)+IF(AND(D7&lt;&gt;"",F7&lt;&gt;""),IF(F7&lt;D7,1,0),0)+IF(AND(D10&lt;&gt;"",F10&lt;&gt;""),IF(F10&lt;D10,1,0),0)</f>
        <v>1</v>
      </c>
      <c r="V16" s="9">
        <f>IF(D6="",0,D6)+IF(F7="",0,F7)+IF(F10="",0,F10)</f>
        <v>2</v>
      </c>
      <c r="W16" s="9">
        <f>IF(F6="",0,F6)+IF(D7="",0,D7)+IF(D10="",0,D10)</f>
        <v>2</v>
      </c>
      <c r="X16" s="9">
        <f>V16-W16</f>
        <v>0</v>
      </c>
      <c r="Y16" s="9">
        <f>S16*3+T16</f>
        <v>3</v>
      </c>
      <c r="Z16" s="9">
        <f>Y16*1000000+(X16+100)*10000+V16*100+2</f>
        <v>4000202</v>
      </c>
      <c r="AA16" s="9">
        <f>RANK(Z16,Z$14:Z$17,0)</f>
        <v>2</v>
      </c>
    </row>
    <row r="17" spans="1:27" ht="21.75" customHeight="1" x14ac:dyDescent="0.3">
      <c r="A17" s="30">
        <v>4</v>
      </c>
      <c r="B17" s="16" t="str">
        <f>INDEX(Q$14:Q$17,MATCH(4,AA$14:AA$17,0))</f>
        <v>Turquia</v>
      </c>
      <c r="C17" s="25"/>
      <c r="D17" s="25"/>
      <c r="E17" s="25"/>
      <c r="F17" s="25"/>
      <c r="G17" s="25"/>
      <c r="H17" s="25"/>
      <c r="I17" s="26">
        <f>INDEX(R$14:R$17,MATCH(4,AA$14:AA$17,0))</f>
        <v>2</v>
      </c>
      <c r="J17" s="26">
        <f>INDEX(S$14:S$17,MATCH(4,AA$14:AA$17,0))</f>
        <v>0</v>
      </c>
      <c r="K17" s="26">
        <f>INDEX(T$14:T$17,MATCH(4,AA$14:AA$17,0))</f>
        <v>0</v>
      </c>
      <c r="L17" s="26">
        <f>INDEX(U$14:U$17,MATCH(4,AA$14:AA$17,0))</f>
        <v>2</v>
      </c>
      <c r="M17" s="26">
        <f>INDEX(V$14:V$17,MATCH(4,AA$14:AA$17,0))</f>
        <v>0</v>
      </c>
      <c r="N17" s="26">
        <f>INDEX(W$14:W$17,MATCH(4,AA$14:AA$17,0))</f>
        <v>3</v>
      </c>
      <c r="O17" s="26">
        <f>INDEX(X$14:X$17,MATCH(4,AA$14:AA$17,0))</f>
        <v>-3</v>
      </c>
      <c r="P17" s="31">
        <f>INDEX(Y$14:Y$17,MATCH(4,AA$14:AA$17,0))</f>
        <v>0</v>
      </c>
      <c r="Q17" s="9" t="str">
        <f>Q8</f>
        <v>Turquia</v>
      </c>
      <c r="R17" s="9">
        <f>((D6&lt;&gt;"")*( F6&lt;&gt;""))+((D8&lt;&gt;"")*( F8&lt;&gt;""))+((D9&lt;&gt;"")*( F9&lt;&gt;""))</f>
        <v>2</v>
      </c>
      <c r="S17" s="9">
        <f>IF(AND(D6&lt;&gt;"",F6&lt;&gt;""),IF(F6&gt;D6,1,0),0)+IF(AND(D8&lt;&gt;"",F8&lt;&gt;""),IF(D8&gt;F8,1,0),0)+IF(AND(D9&lt;&gt;"",F9&lt;&gt;""),IF(D9&gt;F9,1,0),0)</f>
        <v>0</v>
      </c>
      <c r="T17" s="9">
        <f>IF(AND(D6&lt;&gt;"",F6&lt;&gt;""),IF(D6=F6,1,0),0)+IF(AND(D8&lt;&gt;"",F8&lt;&gt;""),IF(D8=F8,1,0),0)+IF(AND(D9&lt;&gt;"",F9&lt;&gt;""),IF(D9=F9,1,0),0)</f>
        <v>0</v>
      </c>
      <c r="U17" s="9">
        <f>IF(AND(D6&lt;&gt;"",F6&lt;&gt;""),IF(F6&lt;D6,1,0),0)+IF(AND(D8&lt;&gt;"",F8&lt;&gt;""),IF(D8&lt;F8,1,0),0)+IF(AND(D9&lt;&gt;"",F9&lt;&gt;""),IF(D9&lt;F9,1,0),0)</f>
        <v>2</v>
      </c>
      <c r="V17" s="9">
        <f>IF(F6="",0,F6)+IF(D8="",0,D8)+IF(D9="",0,D9)</f>
        <v>0</v>
      </c>
      <c r="W17" s="9">
        <f>IF(D6="",0,D6)+IF(F8="",0,F8)+IF(F9="",0,F9)</f>
        <v>3</v>
      </c>
      <c r="X17" s="9">
        <f>V17-W17</f>
        <v>-3</v>
      </c>
      <c r="Y17" s="9">
        <f>S17*3+T17</f>
        <v>0</v>
      </c>
      <c r="Z17" s="9">
        <f>Y17*1000000+(X17+100)*10000+V17*100+1</f>
        <v>970001</v>
      </c>
      <c r="AA17" s="9">
        <f>RANK(Z17,Z$14:Z$17,0)</f>
        <v>4</v>
      </c>
    </row>
    <row r="19" spans="1:27" ht="7.5" customHeight="1" x14ac:dyDescent="0.3"/>
    <row r="20" spans="1:27" ht="15.75" customHeight="1" x14ac:dyDescent="0.3">
      <c r="A20" s="73" t="s">
        <v>44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</sheetData>
  <mergeCells count="13">
    <mergeCell ref="A20:P20"/>
    <mergeCell ref="M10:P10"/>
    <mergeCell ref="I4:K4"/>
    <mergeCell ref="I7:K7"/>
    <mergeCell ref="I6:K6"/>
    <mergeCell ref="M5:P5"/>
    <mergeCell ref="I10:K10"/>
    <mergeCell ref="A1:P1"/>
    <mergeCell ref="I5:K5"/>
    <mergeCell ref="I9:K9"/>
    <mergeCell ref="I8:K8"/>
    <mergeCell ref="A12:P12"/>
    <mergeCell ref="A3:P3"/>
  </mergeCells>
  <hyperlinks>
    <hyperlink ref="M6" location="'Gr-A'!A1" display="A" xr:uid="{00000000-0004-0000-0400-000000000000}"/>
    <hyperlink ref="N6" location="'Gr-B'!A1" display="B" xr:uid="{00000000-0004-0000-0400-000001000000}"/>
    <hyperlink ref="O6" location="'Gr-C'!A1" display="C" xr:uid="{00000000-0004-0000-0400-000002000000}"/>
    <hyperlink ref="M7" location="'Gr-E'!A1" display="E" xr:uid="{00000000-0004-0000-0400-000003000000}"/>
    <hyperlink ref="N7" location="'Gr-F'!A1" display="F" xr:uid="{00000000-0004-0000-0400-000004000000}"/>
    <hyperlink ref="O7" location="'Gr-G'!A1" display="G" xr:uid="{00000000-0004-0000-0400-000005000000}"/>
    <hyperlink ref="P7" location="'Gr-H'!A1" display="H" xr:uid="{00000000-0004-0000-0400-000006000000}"/>
    <hyperlink ref="M8" location="'Gr-I'!A1" display="I" xr:uid="{00000000-0004-0000-0400-000007000000}"/>
    <hyperlink ref="N8" location="'Gr-J'!A1" display="J" xr:uid="{00000000-0004-0000-0400-000008000000}"/>
    <hyperlink ref="O8" location="'Gr-K'!A1" display="K" xr:uid="{00000000-0004-0000-0400-000009000000}"/>
    <hyperlink ref="P8" location="'Gr-L'!A1" display="L" xr:uid="{00000000-0004-0000-0400-00000A000000}"/>
    <hyperlink ref="M10" r:id="rId1" xr:uid="{00000000-0004-0000-0400-00000B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E1C11"/>
  </sheetPr>
  <dimension ref="A1:AO20"/>
  <sheetViews>
    <sheetView showGridLines="0" zoomScaleNormal="100" workbookViewId="0">
      <selection activeCell="D8" sqref="D8"/>
    </sheetView>
  </sheetViews>
  <sheetFormatPr defaultColWidth="8.6640625" defaultRowHeight="14.4" x14ac:dyDescent="0.3"/>
  <cols>
    <col min="1" max="1" width="12" customWidth="1"/>
    <col min="2" max="2" width="22" customWidth="1"/>
    <col min="3" max="3" width="3" customWidth="1"/>
    <col min="4" max="4" width="6" customWidth="1"/>
    <col min="5" max="5" width="3" customWidth="1"/>
    <col min="6" max="6" width="6" customWidth="1"/>
    <col min="7" max="7" width="3" customWidth="1"/>
    <col min="8" max="8" width="22" customWidth="1"/>
    <col min="9" max="12" width="4" customWidth="1"/>
    <col min="13" max="16" width="5" customWidth="1"/>
    <col min="17" max="27" width="12" style="9" hidden="1" customWidth="1"/>
    <col min="28" max="28" width="8.21875" style="9" hidden="1" customWidth="1"/>
    <col min="29" max="31" width="8.6640625" style="9" hidden="1" customWidth="1"/>
    <col min="32" max="41" width="8.6640625" hidden="1" customWidth="1"/>
  </cols>
  <sheetData>
    <row r="1" spans="1:27" ht="31.5" customHeight="1" x14ac:dyDescent="0.3">
      <c r="A1" s="67" t="s">
        <v>115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7" ht="6" customHeight="1" x14ac:dyDescent="0.3"/>
    <row r="3" spans="1:27" ht="19.5" customHeight="1" x14ac:dyDescent="0.3">
      <c r="A3" s="72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7" ht="18" customHeight="1" x14ac:dyDescent="0.3">
      <c r="A4" s="10" t="s">
        <v>2</v>
      </c>
      <c r="B4" s="10" t="s">
        <v>3</v>
      </c>
      <c r="D4" s="10" t="s">
        <v>4</v>
      </c>
      <c r="F4" s="10" t="s">
        <v>5</v>
      </c>
      <c r="H4" s="10" t="s">
        <v>6</v>
      </c>
      <c r="I4" s="75" t="s">
        <v>7</v>
      </c>
      <c r="J4" s="69"/>
      <c r="K4" s="70"/>
    </row>
    <row r="5" spans="1:27" ht="21.75" customHeight="1" x14ac:dyDescent="0.3">
      <c r="A5" s="11" t="s">
        <v>116</v>
      </c>
      <c r="B5" s="12" t="str">
        <f>Q5</f>
        <v>Alemanha</v>
      </c>
      <c r="C5" s="13"/>
      <c r="D5" s="14">
        <v>7</v>
      </c>
      <c r="E5" s="15" t="s">
        <v>9</v>
      </c>
      <c r="F5" s="14">
        <v>1</v>
      </c>
      <c r="G5" s="13"/>
      <c r="H5" s="16" t="str">
        <f>Q6</f>
        <v>Curaçao</v>
      </c>
      <c r="I5" s="68" t="s">
        <v>117</v>
      </c>
      <c r="J5" s="69"/>
      <c r="K5" s="70"/>
      <c r="M5" s="76" t="s">
        <v>10</v>
      </c>
      <c r="N5" s="77"/>
      <c r="O5" s="77"/>
      <c r="P5" s="78"/>
      <c r="Q5" s="9" t="s">
        <v>118</v>
      </c>
    </row>
    <row r="6" spans="1:27" ht="21.75" customHeight="1" x14ac:dyDescent="0.3">
      <c r="A6" s="17" t="s">
        <v>119</v>
      </c>
      <c r="B6" s="18" t="str">
        <f>Q7</f>
        <v>Costa do Marfim</v>
      </c>
      <c r="C6" s="19"/>
      <c r="D6" s="14">
        <v>1</v>
      </c>
      <c r="E6" s="20" t="s">
        <v>9</v>
      </c>
      <c r="F6" s="14">
        <v>0</v>
      </c>
      <c r="G6" s="19"/>
      <c r="H6" s="21" t="str">
        <f>Q8</f>
        <v>Equador</v>
      </c>
      <c r="I6" s="71" t="s">
        <v>99</v>
      </c>
      <c r="J6" s="69"/>
      <c r="K6" s="70"/>
      <c r="M6" s="23" t="s">
        <v>13</v>
      </c>
      <c r="N6" s="23" t="s">
        <v>14</v>
      </c>
      <c r="O6" s="23" t="s">
        <v>15</v>
      </c>
      <c r="P6" s="23" t="s">
        <v>16</v>
      </c>
      <c r="Q6" s="9" t="s">
        <v>120</v>
      </c>
    </row>
    <row r="7" spans="1:27" ht="21.75" customHeight="1" x14ac:dyDescent="0.3">
      <c r="A7" s="11" t="s">
        <v>121</v>
      </c>
      <c r="B7" s="12" t="str">
        <f>Q5</f>
        <v>Alemanha</v>
      </c>
      <c r="C7" s="13"/>
      <c r="D7" s="14">
        <v>2</v>
      </c>
      <c r="E7" s="15" t="s">
        <v>9</v>
      </c>
      <c r="F7" s="14">
        <v>1</v>
      </c>
      <c r="G7" s="13"/>
      <c r="H7" s="16" t="str">
        <f>Q7</f>
        <v>Costa do Marfim</v>
      </c>
      <c r="I7" s="68" t="s">
        <v>122</v>
      </c>
      <c r="J7" s="69"/>
      <c r="K7" s="70"/>
      <c r="M7" s="32" t="s">
        <v>20</v>
      </c>
      <c r="N7" s="23" t="s">
        <v>21</v>
      </c>
      <c r="O7" s="23" t="s">
        <v>22</v>
      </c>
      <c r="P7" s="23" t="s">
        <v>23</v>
      </c>
      <c r="Q7" s="9" t="s">
        <v>123</v>
      </c>
    </row>
    <row r="8" spans="1:27" ht="21.75" customHeight="1" x14ac:dyDescent="0.3">
      <c r="A8" s="17" t="s">
        <v>124</v>
      </c>
      <c r="B8" s="18" t="str">
        <f>Q8</f>
        <v>Equador</v>
      </c>
      <c r="C8" s="19"/>
      <c r="D8" s="14"/>
      <c r="E8" s="20" t="s">
        <v>9</v>
      </c>
      <c r="F8" s="14"/>
      <c r="G8" s="19"/>
      <c r="H8" s="21" t="str">
        <f>Q6</f>
        <v>Curaçao</v>
      </c>
      <c r="I8" s="71" t="s">
        <v>125</v>
      </c>
      <c r="J8" s="69"/>
      <c r="K8" s="70"/>
      <c r="M8" s="23" t="s">
        <v>27</v>
      </c>
      <c r="N8" s="23" t="s">
        <v>28</v>
      </c>
      <c r="O8" s="23" t="s">
        <v>29</v>
      </c>
      <c r="P8" s="23" t="s">
        <v>30</v>
      </c>
      <c r="Q8" s="9" t="s">
        <v>126</v>
      </c>
    </row>
    <row r="9" spans="1:27" ht="21.75" customHeight="1" x14ac:dyDescent="0.3">
      <c r="A9" s="11" t="s">
        <v>127</v>
      </c>
      <c r="B9" s="12" t="str">
        <f>Q6</f>
        <v>Curaçao</v>
      </c>
      <c r="C9" s="13"/>
      <c r="D9" s="14"/>
      <c r="E9" s="15" t="s">
        <v>9</v>
      </c>
      <c r="F9" s="14"/>
      <c r="G9" s="13"/>
      <c r="H9" s="16" t="str">
        <f>Q7</f>
        <v>Costa do Marfim</v>
      </c>
      <c r="I9" s="68" t="s">
        <v>99</v>
      </c>
      <c r="J9" s="69"/>
      <c r="K9" s="70"/>
    </row>
    <row r="10" spans="1:27" ht="21.75" customHeight="1" x14ac:dyDescent="0.3">
      <c r="A10" s="17" t="s">
        <v>127</v>
      </c>
      <c r="B10" s="18" t="str">
        <f>Q8</f>
        <v>Equador</v>
      </c>
      <c r="C10" s="19"/>
      <c r="D10" s="14"/>
      <c r="E10" s="20" t="s">
        <v>9</v>
      </c>
      <c r="F10" s="14"/>
      <c r="G10" s="19"/>
      <c r="H10" s="21" t="str">
        <f>Q5</f>
        <v>Alemanha</v>
      </c>
      <c r="I10" s="71" t="s">
        <v>91</v>
      </c>
      <c r="J10" s="69"/>
      <c r="K10" s="70"/>
      <c r="M10" s="74" t="s">
        <v>35</v>
      </c>
      <c r="N10" s="66"/>
      <c r="O10" s="66"/>
      <c r="P10" s="66"/>
    </row>
    <row r="11" spans="1:27" ht="7.5" customHeight="1" x14ac:dyDescent="0.3"/>
    <row r="12" spans="1:27" ht="19.5" customHeight="1" x14ac:dyDescent="0.3">
      <c r="A12" s="72" t="s">
        <v>36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27" ht="18" customHeight="1" x14ac:dyDescent="0.3">
      <c r="A13" s="10" t="s">
        <v>37</v>
      </c>
      <c r="B13" s="10" t="s">
        <v>38</v>
      </c>
      <c r="C13" s="10"/>
      <c r="D13" s="10"/>
      <c r="E13" s="10"/>
      <c r="F13" s="10"/>
      <c r="G13" s="10"/>
      <c r="H13" s="10"/>
      <c r="I13" s="10" t="s">
        <v>28</v>
      </c>
      <c r="J13" s="10" t="s">
        <v>39</v>
      </c>
      <c r="K13" s="10" t="s">
        <v>20</v>
      </c>
      <c r="L13" s="10" t="s">
        <v>16</v>
      </c>
      <c r="M13" s="10" t="s">
        <v>40</v>
      </c>
      <c r="N13" s="10" t="s">
        <v>41</v>
      </c>
      <c r="O13" s="10" t="s">
        <v>42</v>
      </c>
      <c r="P13" s="10" t="s">
        <v>43</v>
      </c>
    </row>
    <row r="14" spans="1:27" ht="21.75" customHeight="1" x14ac:dyDescent="0.3">
      <c r="A14" s="24">
        <v>1</v>
      </c>
      <c r="B14" s="16" t="str">
        <f>INDEX(Q$14:Q$17,MATCH(1,AA$14:AA$17,0))</f>
        <v>Alemanha</v>
      </c>
      <c r="C14" s="25"/>
      <c r="D14" s="25"/>
      <c r="E14" s="25"/>
      <c r="F14" s="25"/>
      <c r="G14" s="25"/>
      <c r="H14" s="25"/>
      <c r="I14" s="26">
        <f>INDEX(R$14:R$17,MATCH(1,AA$14:AA$17,0))</f>
        <v>2</v>
      </c>
      <c r="J14" s="26">
        <f>INDEX(S$14:S$17,MATCH(1,AA$14:AA$17,0))</f>
        <v>2</v>
      </c>
      <c r="K14" s="26">
        <f>INDEX(T$14:T$17,MATCH(1,AA$14:AA$17,0))</f>
        <v>0</v>
      </c>
      <c r="L14" s="26">
        <f>INDEX(U$14:U$17,MATCH(1,AA$14:AA$17,0))</f>
        <v>0</v>
      </c>
      <c r="M14" s="26">
        <f>INDEX(V$14:V$17,MATCH(1,AA$14:AA$17,0))</f>
        <v>9</v>
      </c>
      <c r="N14" s="26">
        <f>INDEX(W$14:W$17,MATCH(1,AA$14:AA$17,0))</f>
        <v>2</v>
      </c>
      <c r="O14" s="26">
        <f>INDEX(X$14:X$17,MATCH(1,AA$14:AA$17,0))</f>
        <v>7</v>
      </c>
      <c r="P14" s="27">
        <f>INDEX(Y$14:Y$17,MATCH(1,AA$14:AA$17,0))</f>
        <v>6</v>
      </c>
      <c r="Q14" s="9" t="str">
        <f>Q5</f>
        <v>Alemanha</v>
      </c>
      <c r="R14" s="9">
        <f>((D5&lt;&gt;"")*( F5&lt;&gt;""))+((D7&lt;&gt;"")*( F7&lt;&gt;""))+((D10&lt;&gt;"")*( F10&lt;&gt;""))</f>
        <v>2</v>
      </c>
      <c r="S14" s="9">
        <f>IF(AND(D5&lt;&gt;"",F5&lt;&gt;""),IF(D5&gt;F5,1,0),0)+IF(AND(D7&lt;&gt;"",F7&lt;&gt;""),IF(D7&gt;F7,1,0),0)+IF(AND(D10&lt;&gt;"",F10&lt;&gt;""),IF(F10&gt;D10,1,0),0)</f>
        <v>2</v>
      </c>
      <c r="T14" s="9">
        <f>IF(AND(D5&lt;&gt;"",F5&lt;&gt;""),IF(D5=F5,1,0),0)+IF(AND(D7&lt;&gt;"",F7&lt;&gt;""),IF(D7=F7,1,0),0)+IF(AND(D10&lt;&gt;"",F10&lt;&gt;""),IF(D10=F10,1,0),0)</f>
        <v>0</v>
      </c>
      <c r="U14" s="9">
        <f>IF(AND(D5&lt;&gt;"",F5&lt;&gt;""),IF(D5&lt;F5,1,0),0)+IF(AND(D7&lt;&gt;"",F7&lt;&gt;""),IF(D7&lt;F7,1,0),0)+IF(AND(D10&lt;&gt;"",F10&lt;&gt;""),IF(F10&lt;D10,1,0),0)</f>
        <v>0</v>
      </c>
      <c r="V14" s="9">
        <f>IF(D5="",0,D5)+IF(D7="",0,D7)+IF(F10="",0,F10)</f>
        <v>9</v>
      </c>
      <c r="W14" s="9">
        <f>IF(F5="",0,F5)+IF(F7="",0,F7)+IF(D10="",0,D10)</f>
        <v>2</v>
      </c>
      <c r="X14" s="9">
        <f>V14-W14</f>
        <v>7</v>
      </c>
      <c r="Y14" s="9">
        <f>S14*3+T14</f>
        <v>6</v>
      </c>
      <c r="Z14" s="9">
        <f>Y14*1000000+(X14+100)*10000+V14*100+4</f>
        <v>7070904</v>
      </c>
      <c r="AA14" s="9">
        <f>RANK(Z14,Z$14:Z$17,0)</f>
        <v>1</v>
      </c>
    </row>
    <row r="15" spans="1:27" ht="21.75" customHeight="1" x14ac:dyDescent="0.3">
      <c r="A15" s="24">
        <v>2</v>
      </c>
      <c r="B15" s="16" t="str">
        <f>INDEX(Q$14:Q$17,MATCH(2,AA$14:AA$17,0))</f>
        <v>Costa do Marfim</v>
      </c>
      <c r="C15" s="25"/>
      <c r="D15" s="25"/>
      <c r="E15" s="25"/>
      <c r="F15" s="25"/>
      <c r="G15" s="25"/>
      <c r="H15" s="25"/>
      <c r="I15" s="26">
        <f>INDEX(R$14:R$17,MATCH(2,AA$14:AA$17,0))</f>
        <v>2</v>
      </c>
      <c r="J15" s="26">
        <f>INDEX(S$14:S$17,MATCH(2,AA$14:AA$17,0))</f>
        <v>1</v>
      </c>
      <c r="K15" s="26">
        <f>INDEX(T$14:T$17,MATCH(2,AA$14:AA$17,0))</f>
        <v>0</v>
      </c>
      <c r="L15" s="26">
        <f>INDEX(U$14:U$17,MATCH(2,AA$14:AA$17,0))</f>
        <v>1</v>
      </c>
      <c r="M15" s="26">
        <f>INDEX(V$14:V$17,MATCH(2,AA$14:AA$17,0))</f>
        <v>2</v>
      </c>
      <c r="N15" s="26">
        <f>INDEX(W$14:W$17,MATCH(2,AA$14:AA$17,0))</f>
        <v>2</v>
      </c>
      <c r="O15" s="26">
        <f>INDEX(X$14:X$17,MATCH(2,AA$14:AA$17,0))</f>
        <v>0</v>
      </c>
      <c r="P15" s="27">
        <f>INDEX(Y$14:Y$17,MATCH(2,AA$14:AA$17,0))</f>
        <v>3</v>
      </c>
      <c r="Q15" s="9" t="str">
        <f>Q6</f>
        <v>Curaçao</v>
      </c>
      <c r="R15" s="9">
        <f>((D5&lt;&gt;"")*( F5&lt;&gt;""))+((D8&lt;&gt;"")*( F8&lt;&gt;""))+((D9&lt;&gt;"")*( F9&lt;&gt;""))</f>
        <v>1</v>
      </c>
      <c r="S15" s="9">
        <f>IF(AND(D5&lt;&gt;"",F5&lt;&gt;""),IF(F5&gt;D5,1,0),0)+IF(AND(D8&lt;&gt;"",F8&lt;&gt;""),IF(F8&gt;D8,1,0),0)+IF(AND(D9&lt;&gt;"",F9&lt;&gt;""),IF(D9&gt;F9,1,0),0)</f>
        <v>0</v>
      </c>
      <c r="T15" s="9">
        <f>IF(AND(D5&lt;&gt;"",F5&lt;&gt;""),IF(D5=F5,1,0),0)+IF(AND(D8&lt;&gt;"",F8&lt;&gt;""),IF(D8=F8,1,0),0)+IF(AND(D9&lt;&gt;"",F9&lt;&gt;""),IF(D9=F9,1,0),0)</f>
        <v>0</v>
      </c>
      <c r="U15" s="9">
        <f>IF(AND(D5&lt;&gt;"",F5&lt;&gt;""),IF(F5&lt;D5,1,0),0)+IF(AND(D8&lt;&gt;"",F8&lt;&gt;""),IF(F8&lt;D8,1,0),0)+IF(AND(D9&lt;&gt;"",F9&lt;&gt;""),IF(D9&lt;F9,1,0),0)</f>
        <v>1</v>
      </c>
      <c r="V15" s="9">
        <f>IF(F5="",0,F5)+IF(F8="",0,F8)+IF(D9="",0,D9)</f>
        <v>1</v>
      </c>
      <c r="W15" s="9">
        <f>IF(D5="",0,D5)+IF(D8="",0,D8)+IF(F9="",0,F9)</f>
        <v>7</v>
      </c>
      <c r="X15" s="9">
        <f>V15-W15</f>
        <v>-6</v>
      </c>
      <c r="Y15" s="9">
        <f>S15*3+T15</f>
        <v>0</v>
      </c>
      <c r="Z15" s="9">
        <f>Y15*1000000+(X15+100)*10000+V15*100+3</f>
        <v>940103</v>
      </c>
      <c r="AA15" s="9">
        <f>RANK(Z15,Z$14:Z$17,0)</f>
        <v>4</v>
      </c>
    </row>
    <row r="16" spans="1:27" ht="21.75" customHeight="1" x14ac:dyDescent="0.3">
      <c r="A16" s="28">
        <v>3</v>
      </c>
      <c r="B16" s="16" t="str">
        <f>INDEX(Q$14:Q$17,MATCH(3,AA$14:AA$17,0))</f>
        <v>Equador</v>
      </c>
      <c r="C16" s="25"/>
      <c r="D16" s="25"/>
      <c r="E16" s="25"/>
      <c r="F16" s="25"/>
      <c r="G16" s="25"/>
      <c r="H16" s="25"/>
      <c r="I16" s="26">
        <f>INDEX(R$14:R$17,MATCH(3,AA$14:AA$17,0))</f>
        <v>1</v>
      </c>
      <c r="J16" s="26">
        <f>INDEX(S$14:S$17,MATCH(3,AA$14:AA$17,0))</f>
        <v>0</v>
      </c>
      <c r="K16" s="26">
        <f>INDEX(T$14:T$17,MATCH(3,AA$14:AA$17,0))</f>
        <v>0</v>
      </c>
      <c r="L16" s="26">
        <f>INDEX(U$14:U$17,MATCH(3,AA$14:AA$17,0))</f>
        <v>1</v>
      </c>
      <c r="M16" s="26">
        <f>INDEX(V$14:V$17,MATCH(3,AA$14:AA$17,0))</f>
        <v>0</v>
      </c>
      <c r="N16" s="26">
        <f>INDEX(W$14:W$17,MATCH(3,AA$14:AA$17,0))</f>
        <v>1</v>
      </c>
      <c r="O16" s="26">
        <f>INDEX(X$14:X$17,MATCH(3,AA$14:AA$17,0))</f>
        <v>-1</v>
      </c>
      <c r="P16" s="29">
        <f>INDEX(Y$14:Y$17,MATCH(3,AA$14:AA$17,0))</f>
        <v>0</v>
      </c>
      <c r="Q16" s="9" t="str">
        <f>Q7</f>
        <v>Costa do Marfim</v>
      </c>
      <c r="R16" s="9">
        <f>((D6&lt;&gt;"")*( F6&lt;&gt;""))+((D7&lt;&gt;"")*( F7&lt;&gt;""))+((D9&lt;&gt;"")*( F9&lt;&gt;""))</f>
        <v>2</v>
      </c>
      <c r="S16" s="9">
        <f>IF(AND(D6&lt;&gt;"",F6&lt;&gt;""),IF(D6&gt;F6,1,0),0)+IF(AND(D7&lt;&gt;"",F7&lt;&gt;""),IF(F7&gt;D7,1,0),0)+IF(AND(D9&lt;&gt;"",F9&lt;&gt;""),IF(F9&gt;D9,1,0),0)</f>
        <v>1</v>
      </c>
      <c r="T16" s="9">
        <f>IF(AND(D6&lt;&gt;"",F6&lt;&gt;""),IF(D6=F6,1,0),0)+IF(AND(D7&lt;&gt;"",F7&lt;&gt;""),IF(D7=F7,1,0),0)+IF(AND(D9&lt;&gt;"",F9&lt;&gt;""),IF(D9=F9,1,0),0)</f>
        <v>0</v>
      </c>
      <c r="U16" s="9">
        <f>IF(AND(D6&lt;&gt;"",F6&lt;&gt;""),IF(D6&lt;F6,1,0),0)+IF(AND(D7&lt;&gt;"",F7&lt;&gt;""),IF(F7&lt;D7,1,0),0)+IF(AND(D9&lt;&gt;"",F9&lt;&gt;""),IF(F9&lt;D9,1,0),0)</f>
        <v>1</v>
      </c>
      <c r="V16" s="9">
        <f>IF(D6="",0,D6)+IF(F7="",0,F7)+IF(F9="",0,F9)</f>
        <v>2</v>
      </c>
      <c r="W16" s="9">
        <f>IF(F6="",0,F6)+IF(D7="",0,D7)+IF(D9="",0,D9)</f>
        <v>2</v>
      </c>
      <c r="X16" s="9">
        <f>V16-W16</f>
        <v>0</v>
      </c>
      <c r="Y16" s="9">
        <f>S16*3+T16</f>
        <v>3</v>
      </c>
      <c r="Z16" s="9">
        <f>Y16*1000000+(X16+100)*10000+V16*100+2</f>
        <v>4000202</v>
      </c>
      <c r="AA16" s="9">
        <f>RANK(Z16,Z$14:Z$17,0)</f>
        <v>2</v>
      </c>
    </row>
    <row r="17" spans="1:27" ht="21.75" customHeight="1" x14ac:dyDescent="0.3">
      <c r="A17" s="30">
        <v>4</v>
      </c>
      <c r="B17" s="16" t="str">
        <f>INDEX(Q$14:Q$17,MATCH(4,AA$14:AA$17,0))</f>
        <v>Curaçao</v>
      </c>
      <c r="C17" s="25"/>
      <c r="D17" s="25"/>
      <c r="E17" s="25"/>
      <c r="F17" s="25"/>
      <c r="G17" s="25"/>
      <c r="H17" s="25"/>
      <c r="I17" s="26">
        <f>INDEX(R$14:R$17,MATCH(4,AA$14:AA$17,0))</f>
        <v>1</v>
      </c>
      <c r="J17" s="26">
        <f>INDEX(S$14:S$17,MATCH(4,AA$14:AA$17,0))</f>
        <v>0</v>
      </c>
      <c r="K17" s="26">
        <f>INDEX(T$14:T$17,MATCH(4,AA$14:AA$17,0))</f>
        <v>0</v>
      </c>
      <c r="L17" s="26">
        <f>INDEX(U$14:U$17,MATCH(4,AA$14:AA$17,0))</f>
        <v>1</v>
      </c>
      <c r="M17" s="26">
        <f>INDEX(V$14:V$17,MATCH(4,AA$14:AA$17,0))</f>
        <v>1</v>
      </c>
      <c r="N17" s="26">
        <f>INDEX(W$14:W$17,MATCH(4,AA$14:AA$17,0))</f>
        <v>7</v>
      </c>
      <c r="O17" s="26">
        <f>INDEX(X$14:X$17,MATCH(4,AA$14:AA$17,0))</f>
        <v>-6</v>
      </c>
      <c r="P17" s="31">
        <f>INDEX(Y$14:Y$17,MATCH(4,AA$14:AA$17,0))</f>
        <v>0</v>
      </c>
      <c r="Q17" s="9" t="str">
        <f>Q8</f>
        <v>Equador</v>
      </c>
      <c r="R17" s="9">
        <f>((D6&lt;&gt;"")*( F6&lt;&gt;""))+((D8&lt;&gt;"")*( F8&lt;&gt;""))+((D10&lt;&gt;"")*( F10&lt;&gt;""))</f>
        <v>1</v>
      </c>
      <c r="S17" s="9">
        <f>IF(AND(D6&lt;&gt;"",F6&lt;&gt;""),IF(F6&gt;D6,1,0),0)+IF(AND(D8&lt;&gt;"",F8&lt;&gt;""),IF(D8&gt;F8,1,0),0)+IF(AND(D10&lt;&gt;"",F10&lt;&gt;""),IF(D10&gt;F10,1,0),0)</f>
        <v>0</v>
      </c>
      <c r="T17" s="9">
        <f>IF(AND(D6&lt;&gt;"",F6&lt;&gt;""),IF(D6=F6,1,0),0)+IF(AND(D8&lt;&gt;"",F8&lt;&gt;""),IF(D8=F8,1,0),0)+IF(AND(D10&lt;&gt;"",F10&lt;&gt;""),IF(D10=F10,1,0),0)</f>
        <v>0</v>
      </c>
      <c r="U17" s="9">
        <f>IF(AND(D6&lt;&gt;"",F6&lt;&gt;""),IF(F6&lt;D6,1,0),0)+IF(AND(D8&lt;&gt;"",F8&lt;&gt;""),IF(D8&lt;F8,1,0),0)+IF(AND(D10&lt;&gt;"",F10&lt;&gt;""),IF(D10&lt;F10,1,0),0)</f>
        <v>1</v>
      </c>
      <c r="V17" s="9">
        <f>IF(F6="",0,F6)+IF(D8="",0,D8)+IF(D10="",0,D10)</f>
        <v>0</v>
      </c>
      <c r="W17" s="9">
        <f>IF(D6="",0,D6)+IF(F8="",0,F8)+IF(F10="",0,F10)</f>
        <v>1</v>
      </c>
      <c r="X17" s="9">
        <f>V17-W17</f>
        <v>-1</v>
      </c>
      <c r="Y17" s="9">
        <f>S17*3+T17</f>
        <v>0</v>
      </c>
      <c r="Z17" s="9">
        <f>Y17*1000000+(X17+100)*10000+V17*100+1</f>
        <v>990001</v>
      </c>
      <c r="AA17" s="9">
        <f>RANK(Z17,Z$14:Z$17,0)</f>
        <v>3</v>
      </c>
    </row>
    <row r="19" spans="1:27" ht="7.5" customHeight="1" x14ac:dyDescent="0.3"/>
    <row r="20" spans="1:27" ht="15.75" customHeight="1" x14ac:dyDescent="0.3">
      <c r="A20" s="73" t="s">
        <v>44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</sheetData>
  <mergeCells count="13">
    <mergeCell ref="A20:P20"/>
    <mergeCell ref="M10:P10"/>
    <mergeCell ref="I4:K4"/>
    <mergeCell ref="I7:K7"/>
    <mergeCell ref="I6:K6"/>
    <mergeCell ref="M5:P5"/>
    <mergeCell ref="I10:K10"/>
    <mergeCell ref="A1:P1"/>
    <mergeCell ref="I5:K5"/>
    <mergeCell ref="I9:K9"/>
    <mergeCell ref="I8:K8"/>
    <mergeCell ref="A12:P12"/>
    <mergeCell ref="A3:P3"/>
  </mergeCells>
  <hyperlinks>
    <hyperlink ref="M6" location="'Gr-A'!A1" display="A" xr:uid="{00000000-0004-0000-0500-000000000000}"/>
    <hyperlink ref="N6" location="'Gr-B'!A1" display="B" xr:uid="{00000000-0004-0000-0500-000001000000}"/>
    <hyperlink ref="O6" location="'Gr-C'!A1" display="C" xr:uid="{00000000-0004-0000-0500-000002000000}"/>
    <hyperlink ref="P6" location="'Gr-D'!A1" display="D" xr:uid="{00000000-0004-0000-0500-000003000000}"/>
    <hyperlink ref="N7" location="'Gr-F'!A1" display="F" xr:uid="{00000000-0004-0000-0500-000004000000}"/>
    <hyperlink ref="O7" location="'Gr-G'!A1" display="G" xr:uid="{00000000-0004-0000-0500-000005000000}"/>
    <hyperlink ref="P7" location="'Gr-H'!A1" display="H" xr:uid="{00000000-0004-0000-0500-000006000000}"/>
    <hyperlink ref="M8" location="'Gr-I'!A1" display="I" xr:uid="{00000000-0004-0000-0500-000007000000}"/>
    <hyperlink ref="N8" location="'Gr-J'!A1" display="J" xr:uid="{00000000-0004-0000-0500-000008000000}"/>
    <hyperlink ref="O8" location="'Gr-K'!A1" display="K" xr:uid="{00000000-0004-0000-0500-000009000000}"/>
    <hyperlink ref="P8" location="'Gr-L'!A1" display="L" xr:uid="{00000000-0004-0000-0500-00000A000000}"/>
    <hyperlink ref="M10" r:id="rId1" xr:uid="{00000000-0004-0000-0500-00000B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AO20"/>
  <sheetViews>
    <sheetView showGridLines="0" zoomScaleNormal="100" workbookViewId="0">
      <selection activeCell="AT7" sqref="AT7"/>
    </sheetView>
  </sheetViews>
  <sheetFormatPr defaultColWidth="8.6640625" defaultRowHeight="14.4" x14ac:dyDescent="0.3"/>
  <cols>
    <col min="1" max="1" width="12" customWidth="1"/>
    <col min="2" max="2" width="22" customWidth="1"/>
    <col min="3" max="3" width="3" customWidth="1"/>
    <col min="4" max="4" width="6" customWidth="1"/>
    <col min="5" max="5" width="3" customWidth="1"/>
    <col min="6" max="6" width="6" customWidth="1"/>
    <col min="7" max="7" width="3" customWidth="1"/>
    <col min="8" max="8" width="22" customWidth="1"/>
    <col min="9" max="12" width="4" customWidth="1"/>
    <col min="13" max="16" width="5" customWidth="1"/>
    <col min="17" max="27" width="12" style="9" hidden="1" customWidth="1"/>
    <col min="28" max="28" width="8.21875" style="9" hidden="1" customWidth="1"/>
    <col min="29" max="31" width="8.6640625" style="9" hidden="1" customWidth="1"/>
    <col min="32" max="41" width="8.6640625" hidden="1" customWidth="1"/>
  </cols>
  <sheetData>
    <row r="1" spans="1:27" ht="31.5" customHeight="1" x14ac:dyDescent="0.3">
      <c r="A1" s="67" t="s">
        <v>128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7" ht="6" customHeight="1" x14ac:dyDescent="0.3"/>
    <row r="3" spans="1:27" ht="19.5" customHeight="1" x14ac:dyDescent="0.3">
      <c r="A3" s="72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7" ht="18" customHeight="1" x14ac:dyDescent="0.3">
      <c r="A4" s="10" t="s">
        <v>2</v>
      </c>
      <c r="B4" s="10" t="s">
        <v>3</v>
      </c>
      <c r="D4" s="10" t="s">
        <v>4</v>
      </c>
      <c r="F4" s="10" t="s">
        <v>5</v>
      </c>
      <c r="H4" s="10" t="s">
        <v>6</v>
      </c>
      <c r="I4" s="75" t="s">
        <v>7</v>
      </c>
      <c r="J4" s="69"/>
      <c r="K4" s="70"/>
    </row>
    <row r="5" spans="1:27" ht="21.75" customHeight="1" x14ac:dyDescent="0.3">
      <c r="A5" s="11" t="s">
        <v>129</v>
      </c>
      <c r="B5" s="12" t="str">
        <f>Q5</f>
        <v>Holanda</v>
      </c>
      <c r="C5" s="13"/>
      <c r="D5" s="14">
        <v>2</v>
      </c>
      <c r="E5" s="15" t="s">
        <v>9</v>
      </c>
      <c r="F5" s="14">
        <v>2</v>
      </c>
      <c r="G5" s="13"/>
      <c r="H5" s="16" t="str">
        <f>Q6</f>
        <v>Japão</v>
      </c>
      <c r="I5" s="68" t="s">
        <v>130</v>
      </c>
      <c r="J5" s="69"/>
      <c r="K5" s="70"/>
      <c r="M5" s="76" t="s">
        <v>10</v>
      </c>
      <c r="N5" s="77"/>
      <c r="O5" s="77"/>
      <c r="P5" s="78"/>
      <c r="Q5" s="9" t="s">
        <v>131</v>
      </c>
    </row>
    <row r="6" spans="1:27" ht="21.75" customHeight="1" x14ac:dyDescent="0.3">
      <c r="A6" s="17" t="s">
        <v>132</v>
      </c>
      <c r="B6" s="18" t="str">
        <f>Q7</f>
        <v>Suécia</v>
      </c>
      <c r="C6" s="19"/>
      <c r="D6" s="14">
        <v>5</v>
      </c>
      <c r="E6" s="20" t="s">
        <v>9</v>
      </c>
      <c r="F6" s="14">
        <v>1</v>
      </c>
      <c r="G6" s="19"/>
      <c r="H6" s="21" t="str">
        <f>Q8</f>
        <v>Tunísia</v>
      </c>
      <c r="I6" s="71" t="s">
        <v>34</v>
      </c>
      <c r="J6" s="69"/>
      <c r="K6" s="70"/>
      <c r="M6" s="23" t="s">
        <v>13</v>
      </c>
      <c r="N6" s="23" t="s">
        <v>14</v>
      </c>
      <c r="O6" s="23" t="s">
        <v>15</v>
      </c>
      <c r="P6" s="23" t="s">
        <v>16</v>
      </c>
      <c r="Q6" s="9" t="s">
        <v>133</v>
      </c>
    </row>
    <row r="7" spans="1:27" ht="21.75" customHeight="1" x14ac:dyDescent="0.3">
      <c r="A7" s="11" t="s">
        <v>134</v>
      </c>
      <c r="B7" s="12" t="str">
        <f>Q5</f>
        <v>Holanda</v>
      </c>
      <c r="C7" s="13"/>
      <c r="D7" s="14">
        <v>5</v>
      </c>
      <c r="E7" s="15" t="s">
        <v>9</v>
      </c>
      <c r="F7" s="14">
        <v>1</v>
      </c>
      <c r="G7" s="13"/>
      <c r="H7" s="16" t="str">
        <f>Q7</f>
        <v>Suécia</v>
      </c>
      <c r="I7" s="68" t="s">
        <v>117</v>
      </c>
      <c r="J7" s="69"/>
      <c r="K7" s="70"/>
      <c r="M7" s="23" t="s">
        <v>20</v>
      </c>
      <c r="N7" s="32" t="s">
        <v>21</v>
      </c>
      <c r="O7" s="23" t="s">
        <v>22</v>
      </c>
      <c r="P7" s="23" t="s">
        <v>23</v>
      </c>
      <c r="Q7" s="9" t="s">
        <v>135</v>
      </c>
    </row>
    <row r="8" spans="1:27" ht="21.75" customHeight="1" x14ac:dyDescent="0.3">
      <c r="A8" s="17" t="s">
        <v>136</v>
      </c>
      <c r="B8" s="18" t="str">
        <f>Q8</f>
        <v>Tunísia</v>
      </c>
      <c r="C8" s="19"/>
      <c r="D8" s="14"/>
      <c r="E8" s="20" t="s">
        <v>9</v>
      </c>
      <c r="F8" s="14"/>
      <c r="G8" s="19"/>
      <c r="H8" s="21" t="str">
        <f>Q6</f>
        <v>Japão</v>
      </c>
      <c r="I8" s="71" t="s">
        <v>34</v>
      </c>
      <c r="J8" s="69"/>
      <c r="K8" s="70"/>
      <c r="M8" s="23" t="s">
        <v>27</v>
      </c>
      <c r="N8" s="23" t="s">
        <v>28</v>
      </c>
      <c r="O8" s="23" t="s">
        <v>29</v>
      </c>
      <c r="P8" s="23" t="s">
        <v>30</v>
      </c>
      <c r="Q8" s="9" t="s">
        <v>137</v>
      </c>
    </row>
    <row r="9" spans="1:27" ht="21.75" customHeight="1" x14ac:dyDescent="0.3">
      <c r="A9" s="11" t="s">
        <v>138</v>
      </c>
      <c r="B9" s="12" t="str">
        <f>Q6</f>
        <v>Japão</v>
      </c>
      <c r="C9" s="13"/>
      <c r="D9" s="14"/>
      <c r="E9" s="15" t="s">
        <v>9</v>
      </c>
      <c r="F9" s="14"/>
      <c r="G9" s="13"/>
      <c r="H9" s="16" t="str">
        <f>Q7</f>
        <v>Suécia</v>
      </c>
      <c r="I9" s="68" t="s">
        <v>130</v>
      </c>
      <c r="J9" s="69"/>
      <c r="K9" s="70"/>
    </row>
    <row r="10" spans="1:27" ht="21.75" customHeight="1" x14ac:dyDescent="0.3">
      <c r="A10" s="17" t="s">
        <v>138</v>
      </c>
      <c r="B10" s="18" t="str">
        <f>Q8</f>
        <v>Tunísia</v>
      </c>
      <c r="C10" s="19"/>
      <c r="D10" s="14"/>
      <c r="E10" s="20" t="s">
        <v>9</v>
      </c>
      <c r="F10" s="14"/>
      <c r="G10" s="19"/>
      <c r="H10" s="21" t="str">
        <f>Q5</f>
        <v>Holanda</v>
      </c>
      <c r="I10" s="71" t="s">
        <v>125</v>
      </c>
      <c r="J10" s="69"/>
      <c r="K10" s="70"/>
      <c r="M10" s="74" t="s">
        <v>35</v>
      </c>
      <c r="N10" s="66"/>
      <c r="O10" s="66"/>
      <c r="P10" s="66"/>
    </row>
    <row r="11" spans="1:27" ht="7.5" customHeight="1" x14ac:dyDescent="0.3"/>
    <row r="12" spans="1:27" ht="19.5" customHeight="1" x14ac:dyDescent="0.3">
      <c r="A12" s="72" t="s">
        <v>36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27" ht="18" customHeight="1" x14ac:dyDescent="0.3">
      <c r="A13" s="10" t="s">
        <v>37</v>
      </c>
      <c r="B13" s="10" t="s">
        <v>38</v>
      </c>
      <c r="C13" s="10"/>
      <c r="D13" s="10"/>
      <c r="E13" s="10"/>
      <c r="F13" s="10"/>
      <c r="G13" s="10"/>
      <c r="H13" s="10"/>
      <c r="I13" s="10" t="s">
        <v>28</v>
      </c>
      <c r="J13" s="10" t="s">
        <v>39</v>
      </c>
      <c r="K13" s="10" t="s">
        <v>20</v>
      </c>
      <c r="L13" s="10" t="s">
        <v>16</v>
      </c>
      <c r="M13" s="10" t="s">
        <v>40</v>
      </c>
      <c r="N13" s="10" t="s">
        <v>41</v>
      </c>
      <c r="O13" s="10" t="s">
        <v>42</v>
      </c>
      <c r="P13" s="10" t="s">
        <v>43</v>
      </c>
    </row>
    <row r="14" spans="1:27" ht="21.75" customHeight="1" x14ac:dyDescent="0.3">
      <c r="A14" s="24">
        <v>1</v>
      </c>
      <c r="B14" s="16" t="str">
        <f>INDEX(Q$14:Q$17,MATCH(1,AA$14:AA$17,0))</f>
        <v>Holanda</v>
      </c>
      <c r="C14" s="25"/>
      <c r="D14" s="25"/>
      <c r="E14" s="25"/>
      <c r="F14" s="25"/>
      <c r="G14" s="25"/>
      <c r="H14" s="25"/>
      <c r="I14" s="26">
        <f>INDEX(R$14:R$17,MATCH(1,AA$14:AA$17,0))</f>
        <v>2</v>
      </c>
      <c r="J14" s="26">
        <f>INDEX(S$14:S$17,MATCH(1,AA$14:AA$17,0))</f>
        <v>1</v>
      </c>
      <c r="K14" s="26">
        <f>INDEX(T$14:T$17,MATCH(1,AA$14:AA$17,0))</f>
        <v>1</v>
      </c>
      <c r="L14" s="26">
        <f>INDEX(U$14:U$17,MATCH(1,AA$14:AA$17,0))</f>
        <v>0</v>
      </c>
      <c r="M14" s="26">
        <f>INDEX(V$14:V$17,MATCH(1,AA$14:AA$17,0))</f>
        <v>7</v>
      </c>
      <c r="N14" s="26">
        <f>INDEX(W$14:W$17,MATCH(1,AA$14:AA$17,0))</f>
        <v>3</v>
      </c>
      <c r="O14" s="26">
        <f>INDEX(X$14:X$17,MATCH(1,AA$14:AA$17,0))</f>
        <v>4</v>
      </c>
      <c r="P14" s="27">
        <f>INDEX(Y$14:Y$17,MATCH(1,AA$14:AA$17,0))</f>
        <v>4</v>
      </c>
      <c r="Q14" s="9" t="str">
        <f>Q5</f>
        <v>Holanda</v>
      </c>
      <c r="R14" s="9">
        <f>((D5&lt;&gt;"")*( F5&lt;&gt;""))+((D7&lt;&gt;"")*( F7&lt;&gt;""))+((D10&lt;&gt;"")*( F10&lt;&gt;""))</f>
        <v>2</v>
      </c>
      <c r="S14" s="9">
        <f>IF(AND(D5&lt;&gt;"",F5&lt;&gt;""),IF(D5&gt;F5,1,0),0)+IF(AND(D7&lt;&gt;"",F7&lt;&gt;""),IF(D7&gt;F7,1,0),0)+IF(AND(D10&lt;&gt;"",F10&lt;&gt;""),IF(F10&gt;D10,1,0),0)</f>
        <v>1</v>
      </c>
      <c r="T14" s="9">
        <f>IF(AND(D5&lt;&gt;"",F5&lt;&gt;""),IF(D5=F5,1,0),0)+IF(AND(D7&lt;&gt;"",F7&lt;&gt;""),IF(D7=F7,1,0),0)+IF(AND(D10&lt;&gt;"",F10&lt;&gt;""),IF(D10=F10,1,0),0)</f>
        <v>1</v>
      </c>
      <c r="U14" s="9">
        <f>IF(AND(D5&lt;&gt;"",F5&lt;&gt;""),IF(D5&lt;F5,1,0),0)+IF(AND(D7&lt;&gt;"",F7&lt;&gt;""),IF(D7&lt;F7,1,0),0)+IF(AND(D10&lt;&gt;"",F10&lt;&gt;""),IF(F10&lt;D10,1,0),0)</f>
        <v>0</v>
      </c>
      <c r="V14" s="9">
        <f>IF(D5="",0,D5)+IF(D7="",0,D7)+IF(F10="",0,F10)</f>
        <v>7</v>
      </c>
      <c r="W14" s="9">
        <f>IF(F5="",0,F5)+IF(F7="",0,F7)+IF(D10="",0,D10)</f>
        <v>3</v>
      </c>
      <c r="X14" s="9">
        <f>V14-W14</f>
        <v>4</v>
      </c>
      <c r="Y14" s="9">
        <f>S14*3+T14</f>
        <v>4</v>
      </c>
      <c r="Z14" s="9">
        <f>Y14*1000000+(X14+100)*10000+V14*100+4</f>
        <v>5040704</v>
      </c>
      <c r="AA14" s="9">
        <f>RANK(Z14,Z$14:Z$17,0)</f>
        <v>1</v>
      </c>
    </row>
    <row r="15" spans="1:27" ht="21.75" customHeight="1" x14ac:dyDescent="0.3">
      <c r="A15" s="24">
        <v>2</v>
      </c>
      <c r="B15" s="16" t="str">
        <f>INDEX(Q$14:Q$17,MATCH(2,AA$14:AA$17,0))</f>
        <v>Suécia</v>
      </c>
      <c r="C15" s="25"/>
      <c r="D15" s="25"/>
      <c r="E15" s="25"/>
      <c r="F15" s="25"/>
      <c r="G15" s="25"/>
      <c r="H15" s="25"/>
      <c r="I15" s="26">
        <f>INDEX(R$14:R$17,MATCH(2,AA$14:AA$17,0))</f>
        <v>2</v>
      </c>
      <c r="J15" s="26">
        <f>INDEX(S$14:S$17,MATCH(2,AA$14:AA$17,0))</f>
        <v>1</v>
      </c>
      <c r="K15" s="26">
        <f>INDEX(T$14:T$17,MATCH(2,AA$14:AA$17,0))</f>
        <v>0</v>
      </c>
      <c r="L15" s="26">
        <f>INDEX(U$14:U$17,MATCH(2,AA$14:AA$17,0))</f>
        <v>1</v>
      </c>
      <c r="M15" s="26">
        <f>INDEX(V$14:V$17,MATCH(2,AA$14:AA$17,0))</f>
        <v>6</v>
      </c>
      <c r="N15" s="26">
        <f>INDEX(W$14:W$17,MATCH(2,AA$14:AA$17,0))</f>
        <v>6</v>
      </c>
      <c r="O15" s="26">
        <f>INDEX(X$14:X$17,MATCH(2,AA$14:AA$17,0))</f>
        <v>0</v>
      </c>
      <c r="P15" s="27">
        <f>INDEX(Y$14:Y$17,MATCH(2,AA$14:AA$17,0))</f>
        <v>3</v>
      </c>
      <c r="Q15" s="9" t="str">
        <f>Q6</f>
        <v>Japão</v>
      </c>
      <c r="R15" s="9">
        <f>((D5&lt;&gt;"")*( F5&lt;&gt;""))+((D8&lt;&gt;"")*( F8&lt;&gt;""))+((D9&lt;&gt;"")*( F9&lt;&gt;""))</f>
        <v>1</v>
      </c>
      <c r="S15" s="9">
        <f>IF(AND(D5&lt;&gt;"",F5&lt;&gt;""),IF(F5&gt;D5,1,0),0)+IF(AND(D8&lt;&gt;"",F8&lt;&gt;""),IF(F8&gt;D8,1,0),0)+IF(AND(D9&lt;&gt;"",F9&lt;&gt;""),IF(D9&gt;F9,1,0),0)</f>
        <v>0</v>
      </c>
      <c r="T15" s="9">
        <f>IF(AND(D5&lt;&gt;"",F5&lt;&gt;""),IF(D5=F5,1,0),0)+IF(AND(D8&lt;&gt;"",F8&lt;&gt;""),IF(D8=F8,1,0),0)+IF(AND(D9&lt;&gt;"",F9&lt;&gt;""),IF(D9=F9,1,0),0)</f>
        <v>1</v>
      </c>
      <c r="U15" s="9">
        <f>IF(AND(D5&lt;&gt;"",F5&lt;&gt;""),IF(F5&lt;D5,1,0),0)+IF(AND(D8&lt;&gt;"",F8&lt;&gt;""),IF(F8&lt;D8,1,0),0)+IF(AND(D9&lt;&gt;"",F9&lt;&gt;""),IF(D9&lt;F9,1,0),0)</f>
        <v>0</v>
      </c>
      <c r="V15" s="9">
        <f>IF(F5="",0,F5)+IF(F8="",0,F8)+IF(D9="",0,D9)</f>
        <v>2</v>
      </c>
      <c r="W15" s="9">
        <f>IF(D5="",0,D5)+IF(D8="",0,D8)+IF(F9="",0,F9)</f>
        <v>2</v>
      </c>
      <c r="X15" s="9">
        <f>V15-W15</f>
        <v>0</v>
      </c>
      <c r="Y15" s="9">
        <f>S15*3+T15</f>
        <v>1</v>
      </c>
      <c r="Z15" s="9">
        <f>Y15*1000000+(X15+100)*10000+V15*100+3</f>
        <v>2000203</v>
      </c>
      <c r="AA15" s="9">
        <f>RANK(Z15,Z$14:Z$17,0)</f>
        <v>3</v>
      </c>
    </row>
    <row r="16" spans="1:27" ht="21.75" customHeight="1" x14ac:dyDescent="0.3">
      <c r="A16" s="28">
        <v>3</v>
      </c>
      <c r="B16" s="16" t="str">
        <f>INDEX(Q$14:Q$17,MATCH(3,AA$14:AA$17,0))</f>
        <v>Japão</v>
      </c>
      <c r="C16" s="25"/>
      <c r="D16" s="25"/>
      <c r="E16" s="25"/>
      <c r="F16" s="25"/>
      <c r="G16" s="25"/>
      <c r="H16" s="25"/>
      <c r="I16" s="26">
        <f>INDEX(R$14:R$17,MATCH(3,AA$14:AA$17,0))</f>
        <v>1</v>
      </c>
      <c r="J16" s="26">
        <f>INDEX(S$14:S$17,MATCH(3,AA$14:AA$17,0))</f>
        <v>0</v>
      </c>
      <c r="K16" s="26">
        <f>INDEX(T$14:T$17,MATCH(3,AA$14:AA$17,0))</f>
        <v>1</v>
      </c>
      <c r="L16" s="26">
        <f>INDEX(U$14:U$17,MATCH(3,AA$14:AA$17,0))</f>
        <v>0</v>
      </c>
      <c r="M16" s="26">
        <f>INDEX(V$14:V$17,MATCH(3,AA$14:AA$17,0))</f>
        <v>2</v>
      </c>
      <c r="N16" s="26">
        <f>INDEX(W$14:W$17,MATCH(3,AA$14:AA$17,0))</f>
        <v>2</v>
      </c>
      <c r="O16" s="26">
        <f>INDEX(X$14:X$17,MATCH(3,AA$14:AA$17,0))</f>
        <v>0</v>
      </c>
      <c r="P16" s="29">
        <f>INDEX(Y$14:Y$17,MATCH(3,AA$14:AA$17,0))</f>
        <v>1</v>
      </c>
      <c r="Q16" s="9" t="str">
        <f>Q7</f>
        <v>Suécia</v>
      </c>
      <c r="R16" s="9">
        <f>((D6&lt;&gt;"")*( F6&lt;&gt;""))+((D7&lt;&gt;"")*( F7&lt;&gt;""))+((D9&lt;&gt;"")*( F9&lt;&gt;""))</f>
        <v>2</v>
      </c>
      <c r="S16" s="9">
        <f>IF(AND(D6&lt;&gt;"",F6&lt;&gt;""),IF(D6&gt;F6,1,0),0)+IF(AND(D7&lt;&gt;"",F7&lt;&gt;""),IF(F7&gt;D7,1,0),0)+IF(AND(D9&lt;&gt;"",F9&lt;&gt;""),IF(F9&gt;D9,1,0),0)</f>
        <v>1</v>
      </c>
      <c r="T16" s="9">
        <f>IF(AND(D6&lt;&gt;"",F6&lt;&gt;""),IF(D6=F6,1,0),0)+IF(AND(D7&lt;&gt;"",F7&lt;&gt;""),IF(D7=F7,1,0),0)+IF(AND(D9&lt;&gt;"",F9&lt;&gt;""),IF(D9=F9,1,0),0)</f>
        <v>0</v>
      </c>
      <c r="U16" s="9">
        <f>IF(AND(D6&lt;&gt;"",F6&lt;&gt;""),IF(D6&lt;F6,1,0),0)+IF(AND(D7&lt;&gt;"",F7&lt;&gt;""),IF(F7&lt;D7,1,0),0)+IF(AND(D9&lt;&gt;"",F9&lt;&gt;""),IF(F9&lt;D9,1,0),0)</f>
        <v>1</v>
      </c>
      <c r="V16" s="9">
        <f>IF(D6="",0,D6)+IF(F7="",0,F7)+IF(F9="",0,F9)</f>
        <v>6</v>
      </c>
      <c r="W16" s="9">
        <f>IF(F6="",0,F6)+IF(D7="",0,D7)+IF(D9="",0,D9)</f>
        <v>6</v>
      </c>
      <c r="X16" s="9">
        <f>V16-W16</f>
        <v>0</v>
      </c>
      <c r="Y16" s="9">
        <f>S16*3+T16</f>
        <v>3</v>
      </c>
      <c r="Z16" s="9">
        <f>Y16*1000000+(X16+100)*10000+V16*100+2</f>
        <v>4000602</v>
      </c>
      <c r="AA16" s="9">
        <f>RANK(Z16,Z$14:Z$17,0)</f>
        <v>2</v>
      </c>
    </row>
    <row r="17" spans="1:27" ht="21.75" customHeight="1" x14ac:dyDescent="0.3">
      <c r="A17" s="30">
        <v>4</v>
      </c>
      <c r="B17" s="16" t="str">
        <f>INDEX(Q$14:Q$17,MATCH(4,AA$14:AA$17,0))</f>
        <v>Tunísia</v>
      </c>
      <c r="C17" s="25"/>
      <c r="D17" s="25"/>
      <c r="E17" s="25"/>
      <c r="F17" s="25"/>
      <c r="G17" s="25"/>
      <c r="H17" s="25"/>
      <c r="I17" s="26">
        <f>INDEX(R$14:R$17,MATCH(4,AA$14:AA$17,0))</f>
        <v>1</v>
      </c>
      <c r="J17" s="26">
        <f>INDEX(S$14:S$17,MATCH(4,AA$14:AA$17,0))</f>
        <v>0</v>
      </c>
      <c r="K17" s="26">
        <f>INDEX(T$14:T$17,MATCH(4,AA$14:AA$17,0))</f>
        <v>0</v>
      </c>
      <c r="L17" s="26">
        <f>INDEX(U$14:U$17,MATCH(4,AA$14:AA$17,0))</f>
        <v>1</v>
      </c>
      <c r="M17" s="26">
        <f>INDEX(V$14:V$17,MATCH(4,AA$14:AA$17,0))</f>
        <v>1</v>
      </c>
      <c r="N17" s="26">
        <f>INDEX(W$14:W$17,MATCH(4,AA$14:AA$17,0))</f>
        <v>5</v>
      </c>
      <c r="O17" s="26">
        <f>INDEX(X$14:X$17,MATCH(4,AA$14:AA$17,0))</f>
        <v>-4</v>
      </c>
      <c r="P17" s="31">
        <f>INDEX(Y$14:Y$17,MATCH(4,AA$14:AA$17,0))</f>
        <v>0</v>
      </c>
      <c r="Q17" s="9" t="str">
        <f>Q8</f>
        <v>Tunísia</v>
      </c>
      <c r="R17" s="9">
        <f>((D6&lt;&gt;"")*( F6&lt;&gt;""))+((D8&lt;&gt;"")*( F8&lt;&gt;""))+((D10&lt;&gt;"")*( F10&lt;&gt;""))</f>
        <v>1</v>
      </c>
      <c r="S17" s="9">
        <f>IF(AND(D6&lt;&gt;"",F6&lt;&gt;""),IF(F6&gt;D6,1,0),0)+IF(AND(D8&lt;&gt;"",F8&lt;&gt;""),IF(D8&gt;F8,1,0),0)+IF(AND(D10&lt;&gt;"",F10&lt;&gt;""),IF(D10&gt;F10,1,0),0)</f>
        <v>0</v>
      </c>
      <c r="T17" s="9">
        <f>IF(AND(D6&lt;&gt;"",F6&lt;&gt;""),IF(D6=F6,1,0),0)+IF(AND(D8&lt;&gt;"",F8&lt;&gt;""),IF(D8=F8,1,0),0)+IF(AND(D10&lt;&gt;"",F10&lt;&gt;""),IF(D10=F10,1,0),0)</f>
        <v>0</v>
      </c>
      <c r="U17" s="9">
        <f>IF(AND(D6&lt;&gt;"",F6&lt;&gt;""),IF(F6&lt;D6,1,0),0)+IF(AND(D8&lt;&gt;"",F8&lt;&gt;""),IF(D8&lt;F8,1,0),0)+IF(AND(D10&lt;&gt;"",F10&lt;&gt;""),IF(D10&lt;F10,1,0),0)</f>
        <v>1</v>
      </c>
      <c r="V17" s="9">
        <f>IF(F6="",0,F6)+IF(D8="",0,D8)+IF(D10="",0,D10)</f>
        <v>1</v>
      </c>
      <c r="W17" s="9">
        <f>IF(D6="",0,D6)+IF(F8="",0,F8)+IF(F10="",0,F10)</f>
        <v>5</v>
      </c>
      <c r="X17" s="9">
        <f>V17-W17</f>
        <v>-4</v>
      </c>
      <c r="Y17" s="9">
        <f>S17*3+T17</f>
        <v>0</v>
      </c>
      <c r="Z17" s="9">
        <f>Y17*1000000+(X17+100)*10000+V17*100+1</f>
        <v>960101</v>
      </c>
      <c r="AA17" s="9">
        <f>RANK(Z17,Z$14:Z$17,0)</f>
        <v>4</v>
      </c>
    </row>
    <row r="19" spans="1:27" ht="7.5" customHeight="1" x14ac:dyDescent="0.3"/>
    <row r="20" spans="1:27" ht="15.75" customHeight="1" x14ac:dyDescent="0.3">
      <c r="A20" s="73" t="s">
        <v>44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</sheetData>
  <mergeCells count="13">
    <mergeCell ref="A20:P20"/>
    <mergeCell ref="M10:P10"/>
    <mergeCell ref="I4:K4"/>
    <mergeCell ref="I7:K7"/>
    <mergeCell ref="I6:K6"/>
    <mergeCell ref="M5:P5"/>
    <mergeCell ref="I10:K10"/>
    <mergeCell ref="A1:P1"/>
    <mergeCell ref="I5:K5"/>
    <mergeCell ref="I9:K9"/>
    <mergeCell ref="I8:K8"/>
    <mergeCell ref="A12:P12"/>
    <mergeCell ref="A3:P3"/>
  </mergeCells>
  <hyperlinks>
    <hyperlink ref="M6" location="'Gr-A'!A1" display="A" xr:uid="{00000000-0004-0000-0600-000000000000}"/>
    <hyperlink ref="N6" location="'Gr-B'!A1" display="B" xr:uid="{00000000-0004-0000-0600-000001000000}"/>
    <hyperlink ref="O6" location="'Gr-C'!A1" display="C" xr:uid="{00000000-0004-0000-0600-000002000000}"/>
    <hyperlink ref="P6" location="'Gr-D'!A1" display="D" xr:uid="{00000000-0004-0000-0600-000003000000}"/>
    <hyperlink ref="M7" location="'Gr-E'!A1" display="E" xr:uid="{00000000-0004-0000-0600-000004000000}"/>
    <hyperlink ref="O7" location="'Gr-G'!A1" display="G" xr:uid="{00000000-0004-0000-0600-000005000000}"/>
    <hyperlink ref="P7" location="'Gr-H'!A1" display="H" xr:uid="{00000000-0004-0000-0600-000006000000}"/>
    <hyperlink ref="M8" location="'Gr-I'!A1" display="I" xr:uid="{00000000-0004-0000-0600-000007000000}"/>
    <hyperlink ref="N8" location="'Gr-J'!A1" display="J" xr:uid="{00000000-0004-0000-0600-000008000000}"/>
    <hyperlink ref="O8" location="'Gr-K'!A1" display="K" xr:uid="{00000000-0004-0000-0600-000009000000}"/>
    <hyperlink ref="P8" location="'Gr-L'!A1" display="L" xr:uid="{00000000-0004-0000-0600-00000A000000}"/>
    <hyperlink ref="M10" r:id="rId1" xr:uid="{00000000-0004-0000-0600-00000B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53735"/>
  </sheetPr>
  <dimension ref="A1:AO20"/>
  <sheetViews>
    <sheetView showGridLines="0" zoomScaleNormal="100" workbookViewId="0">
      <selection activeCell="AQ14" sqref="AQ14"/>
    </sheetView>
  </sheetViews>
  <sheetFormatPr defaultColWidth="8.6640625" defaultRowHeight="14.4" x14ac:dyDescent="0.3"/>
  <cols>
    <col min="1" max="1" width="12" customWidth="1"/>
    <col min="2" max="2" width="22" customWidth="1"/>
    <col min="3" max="3" width="3" customWidth="1"/>
    <col min="4" max="4" width="6" customWidth="1"/>
    <col min="5" max="5" width="3" customWidth="1"/>
    <col min="6" max="6" width="6" customWidth="1"/>
    <col min="7" max="7" width="3" customWidth="1"/>
    <col min="8" max="8" width="22" customWidth="1"/>
    <col min="9" max="12" width="4" customWidth="1"/>
    <col min="13" max="16" width="5" customWidth="1"/>
    <col min="17" max="27" width="12" style="9" hidden="1" customWidth="1"/>
    <col min="28" max="28" width="8.21875" style="9" hidden="1" customWidth="1"/>
    <col min="29" max="31" width="8.6640625" style="9" hidden="1" customWidth="1"/>
    <col min="32" max="41" width="8.6640625" hidden="1" customWidth="1"/>
  </cols>
  <sheetData>
    <row r="1" spans="1:27" ht="31.5" customHeight="1" x14ac:dyDescent="0.3">
      <c r="A1" s="67" t="s">
        <v>139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7" ht="6" customHeight="1" x14ac:dyDescent="0.3"/>
    <row r="3" spans="1:27" ht="19.5" customHeight="1" x14ac:dyDescent="0.3">
      <c r="A3" s="72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7" ht="18" customHeight="1" x14ac:dyDescent="0.3">
      <c r="A4" s="10" t="s">
        <v>2</v>
      </c>
      <c r="B4" s="10" t="s">
        <v>3</v>
      </c>
      <c r="D4" s="10" t="s">
        <v>4</v>
      </c>
      <c r="F4" s="10" t="s">
        <v>5</v>
      </c>
      <c r="H4" s="10" t="s">
        <v>6</v>
      </c>
      <c r="I4" s="75" t="s">
        <v>7</v>
      </c>
      <c r="J4" s="69"/>
      <c r="K4" s="70"/>
    </row>
    <row r="5" spans="1:27" ht="21.75" customHeight="1" x14ac:dyDescent="0.3">
      <c r="A5" s="11" t="s">
        <v>140</v>
      </c>
      <c r="B5" s="12" t="str">
        <f>Q5</f>
        <v>Bélgica</v>
      </c>
      <c r="C5" s="13"/>
      <c r="D5" s="14">
        <v>1</v>
      </c>
      <c r="E5" s="15" t="s">
        <v>9</v>
      </c>
      <c r="F5" s="14">
        <v>1</v>
      </c>
      <c r="G5" s="13"/>
      <c r="H5" s="16" t="str">
        <f>Q6</f>
        <v>Egito</v>
      </c>
      <c r="I5" s="68" t="s">
        <v>141</v>
      </c>
      <c r="J5" s="69"/>
      <c r="K5" s="70"/>
      <c r="M5" s="76" t="s">
        <v>10</v>
      </c>
      <c r="N5" s="77"/>
      <c r="O5" s="77"/>
      <c r="P5" s="78"/>
      <c r="Q5" s="9" t="s">
        <v>142</v>
      </c>
    </row>
    <row r="6" spans="1:27" ht="21.75" customHeight="1" x14ac:dyDescent="0.3">
      <c r="A6" s="17" t="s">
        <v>143</v>
      </c>
      <c r="B6" s="18" t="str">
        <f>Q7</f>
        <v>Irã</v>
      </c>
      <c r="C6" s="19"/>
      <c r="D6" s="14">
        <v>2</v>
      </c>
      <c r="E6" s="20" t="s">
        <v>9</v>
      </c>
      <c r="F6" s="14">
        <v>2</v>
      </c>
      <c r="G6" s="19"/>
      <c r="H6" s="21" t="str">
        <f>Q8</f>
        <v>Nova Zelândia</v>
      </c>
      <c r="I6" s="71" t="s">
        <v>82</v>
      </c>
      <c r="J6" s="69"/>
      <c r="K6" s="70"/>
      <c r="M6" s="23" t="s">
        <v>13</v>
      </c>
      <c r="N6" s="23" t="s">
        <v>14</v>
      </c>
      <c r="O6" s="23" t="s">
        <v>15</v>
      </c>
      <c r="P6" s="23" t="s">
        <v>16</v>
      </c>
      <c r="Q6" s="9" t="s">
        <v>144</v>
      </c>
    </row>
    <row r="7" spans="1:27" ht="21.75" customHeight="1" x14ac:dyDescent="0.3">
      <c r="A7" s="11" t="s">
        <v>145</v>
      </c>
      <c r="B7" s="12" t="str">
        <f>Q5</f>
        <v>Bélgica</v>
      </c>
      <c r="C7" s="13"/>
      <c r="D7" s="14"/>
      <c r="E7" s="15" t="s">
        <v>9</v>
      </c>
      <c r="F7" s="14"/>
      <c r="G7" s="13"/>
      <c r="H7" s="16" t="str">
        <f>Q7</f>
        <v>Irã</v>
      </c>
      <c r="I7" s="68" t="s">
        <v>82</v>
      </c>
      <c r="J7" s="69"/>
      <c r="K7" s="70"/>
      <c r="M7" s="23" t="s">
        <v>20</v>
      </c>
      <c r="N7" s="23" t="s">
        <v>21</v>
      </c>
      <c r="O7" s="32" t="s">
        <v>22</v>
      </c>
      <c r="P7" s="23" t="s">
        <v>23</v>
      </c>
      <c r="Q7" s="9" t="s">
        <v>146</v>
      </c>
    </row>
    <row r="8" spans="1:27" ht="21.75" customHeight="1" x14ac:dyDescent="0.3">
      <c r="A8" s="17" t="s">
        <v>147</v>
      </c>
      <c r="B8" s="18" t="str">
        <f>Q8</f>
        <v>Nova Zelândia</v>
      </c>
      <c r="C8" s="19"/>
      <c r="D8" s="14"/>
      <c r="E8" s="20" t="s">
        <v>9</v>
      </c>
      <c r="F8" s="14"/>
      <c r="G8" s="19"/>
      <c r="H8" s="21" t="str">
        <f>Q6</f>
        <v>Egito</v>
      </c>
      <c r="I8" s="71" t="s">
        <v>85</v>
      </c>
      <c r="J8" s="69"/>
      <c r="K8" s="70"/>
      <c r="M8" s="23" t="s">
        <v>27</v>
      </c>
      <c r="N8" s="23" t="s">
        <v>28</v>
      </c>
      <c r="O8" s="23" t="s">
        <v>29</v>
      </c>
      <c r="P8" s="23" t="s">
        <v>30</v>
      </c>
      <c r="Q8" s="9" t="s">
        <v>148</v>
      </c>
    </row>
    <row r="9" spans="1:27" ht="21.75" customHeight="1" x14ac:dyDescent="0.3">
      <c r="A9" s="11" t="s">
        <v>149</v>
      </c>
      <c r="B9" s="12" t="str">
        <f>Q6</f>
        <v>Egito</v>
      </c>
      <c r="C9" s="13"/>
      <c r="D9" s="14"/>
      <c r="E9" s="15" t="s">
        <v>9</v>
      </c>
      <c r="F9" s="14"/>
      <c r="G9" s="13"/>
      <c r="H9" s="16" t="str">
        <f>Q7</f>
        <v>Irã</v>
      </c>
      <c r="I9" s="68" t="s">
        <v>88</v>
      </c>
      <c r="J9" s="69"/>
      <c r="K9" s="70"/>
    </row>
    <row r="10" spans="1:27" ht="21.75" customHeight="1" x14ac:dyDescent="0.3">
      <c r="A10" s="17" t="s">
        <v>149</v>
      </c>
      <c r="B10" s="18" t="str">
        <f>Q8</f>
        <v>Nova Zelândia</v>
      </c>
      <c r="C10" s="19"/>
      <c r="D10" s="14"/>
      <c r="E10" s="20" t="s">
        <v>9</v>
      </c>
      <c r="F10" s="14"/>
      <c r="G10" s="19"/>
      <c r="H10" s="21" t="str">
        <f>Q5</f>
        <v>Bélgica</v>
      </c>
      <c r="I10" s="71" t="s">
        <v>85</v>
      </c>
      <c r="J10" s="69"/>
      <c r="K10" s="70"/>
      <c r="M10" s="74" t="s">
        <v>35</v>
      </c>
      <c r="N10" s="66"/>
      <c r="O10" s="66"/>
      <c r="P10" s="66"/>
    </row>
    <row r="11" spans="1:27" ht="7.5" customHeight="1" x14ac:dyDescent="0.3"/>
    <row r="12" spans="1:27" ht="19.5" customHeight="1" x14ac:dyDescent="0.3">
      <c r="A12" s="72" t="s">
        <v>36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27" ht="18" customHeight="1" x14ac:dyDescent="0.3">
      <c r="A13" s="10" t="s">
        <v>37</v>
      </c>
      <c r="B13" s="10" t="s">
        <v>38</v>
      </c>
      <c r="C13" s="10"/>
      <c r="D13" s="10"/>
      <c r="E13" s="10"/>
      <c r="F13" s="10"/>
      <c r="G13" s="10"/>
      <c r="H13" s="10"/>
      <c r="I13" s="10" t="s">
        <v>28</v>
      </c>
      <c r="J13" s="10" t="s">
        <v>39</v>
      </c>
      <c r="K13" s="10" t="s">
        <v>20</v>
      </c>
      <c r="L13" s="10" t="s">
        <v>16</v>
      </c>
      <c r="M13" s="10" t="s">
        <v>40</v>
      </c>
      <c r="N13" s="10" t="s">
        <v>41</v>
      </c>
      <c r="O13" s="10" t="s">
        <v>42</v>
      </c>
      <c r="P13" s="10" t="s">
        <v>43</v>
      </c>
    </row>
    <row r="14" spans="1:27" ht="21.75" customHeight="1" x14ac:dyDescent="0.3">
      <c r="A14" s="24">
        <v>1</v>
      </c>
      <c r="B14" s="16" t="str">
        <f>INDEX(Q$14:Q$17,MATCH(1,AA$14:AA$17,0))</f>
        <v>Irã</v>
      </c>
      <c r="C14" s="25"/>
      <c r="D14" s="25"/>
      <c r="E14" s="25"/>
      <c r="F14" s="25"/>
      <c r="G14" s="25"/>
      <c r="H14" s="25"/>
      <c r="I14" s="26">
        <f>INDEX(R$14:R$17,MATCH(1,AA$14:AA$17,0))</f>
        <v>1</v>
      </c>
      <c r="J14" s="26">
        <f>INDEX(S$14:S$17,MATCH(1,AA$14:AA$17,0))</f>
        <v>0</v>
      </c>
      <c r="K14" s="26">
        <f>INDEX(T$14:T$17,MATCH(1,AA$14:AA$17,0))</f>
        <v>1</v>
      </c>
      <c r="L14" s="26">
        <f>INDEX(U$14:U$17,MATCH(1,AA$14:AA$17,0))</f>
        <v>0</v>
      </c>
      <c r="M14" s="26">
        <f>INDEX(V$14:V$17,MATCH(1,AA$14:AA$17,0))</f>
        <v>2</v>
      </c>
      <c r="N14" s="26">
        <f>INDEX(W$14:W$17,MATCH(1,AA$14:AA$17,0))</f>
        <v>2</v>
      </c>
      <c r="O14" s="26">
        <f>INDEX(X$14:X$17,MATCH(1,AA$14:AA$17,0))</f>
        <v>0</v>
      </c>
      <c r="P14" s="27">
        <f>INDEX(Y$14:Y$17,MATCH(1,AA$14:AA$17,0))</f>
        <v>1</v>
      </c>
      <c r="Q14" s="9" t="str">
        <f>Q5</f>
        <v>Bélgica</v>
      </c>
      <c r="R14" s="9">
        <f>((D5&lt;&gt;"")*( F5&lt;&gt;""))+((D7&lt;&gt;"")*( F7&lt;&gt;""))+((D10&lt;&gt;"")*( F10&lt;&gt;""))</f>
        <v>1</v>
      </c>
      <c r="S14" s="9">
        <f>IF(AND(D5&lt;&gt;"",F5&lt;&gt;""),IF(D5&gt;F5,1,0),0)+IF(AND(D7&lt;&gt;"",F7&lt;&gt;""),IF(D7&gt;F7,1,0),0)+IF(AND(D10&lt;&gt;"",F10&lt;&gt;""),IF(F10&gt;D10,1,0),0)</f>
        <v>0</v>
      </c>
      <c r="T14" s="9">
        <f>IF(AND(D5&lt;&gt;"",F5&lt;&gt;""),IF(D5=F5,1,0),0)+IF(AND(D7&lt;&gt;"",F7&lt;&gt;""),IF(D7=F7,1,0),0)+IF(AND(D10&lt;&gt;"",F10&lt;&gt;""),IF(D10=F10,1,0),0)</f>
        <v>1</v>
      </c>
      <c r="U14" s="9">
        <f>IF(AND(D5&lt;&gt;"",F5&lt;&gt;""),IF(D5&lt;F5,1,0),0)+IF(AND(D7&lt;&gt;"",F7&lt;&gt;""),IF(D7&lt;F7,1,0),0)+IF(AND(D10&lt;&gt;"",F10&lt;&gt;""),IF(F10&lt;D10,1,0),0)</f>
        <v>0</v>
      </c>
      <c r="V14" s="9">
        <f>IF(D5="",0,D5)+IF(D7="",0,D7)+IF(F10="",0,F10)</f>
        <v>1</v>
      </c>
      <c r="W14" s="9">
        <f>IF(F5="",0,F5)+IF(F7="",0,F7)+IF(D10="",0,D10)</f>
        <v>1</v>
      </c>
      <c r="X14" s="9">
        <f>V14-W14</f>
        <v>0</v>
      </c>
      <c r="Y14" s="9">
        <f>S14*3+T14</f>
        <v>1</v>
      </c>
      <c r="Z14" s="9">
        <f>Y14*1000000+(X14+100)*10000+V14*100+4</f>
        <v>2000104</v>
      </c>
      <c r="AA14" s="9">
        <f>RANK(Z14,Z$14:Z$17,0)</f>
        <v>3</v>
      </c>
    </row>
    <row r="15" spans="1:27" ht="21.75" customHeight="1" x14ac:dyDescent="0.3">
      <c r="A15" s="24">
        <v>2</v>
      </c>
      <c r="B15" s="16" t="str">
        <f>INDEX(Q$14:Q$17,MATCH(2,AA$14:AA$17,0))</f>
        <v>Nova Zelândia</v>
      </c>
      <c r="C15" s="25"/>
      <c r="D15" s="25"/>
      <c r="E15" s="25"/>
      <c r="F15" s="25"/>
      <c r="G15" s="25"/>
      <c r="H15" s="25"/>
      <c r="I15" s="26">
        <f>INDEX(R$14:R$17,MATCH(2,AA$14:AA$17,0))</f>
        <v>1</v>
      </c>
      <c r="J15" s="26">
        <f>INDEX(S$14:S$17,MATCH(2,AA$14:AA$17,0))</f>
        <v>0</v>
      </c>
      <c r="K15" s="26">
        <f>INDEX(T$14:T$17,MATCH(2,AA$14:AA$17,0))</f>
        <v>1</v>
      </c>
      <c r="L15" s="26">
        <f>INDEX(U$14:U$17,MATCH(2,AA$14:AA$17,0))</f>
        <v>0</v>
      </c>
      <c r="M15" s="26">
        <f>INDEX(V$14:V$17,MATCH(2,AA$14:AA$17,0))</f>
        <v>2</v>
      </c>
      <c r="N15" s="26">
        <f>INDEX(W$14:W$17,MATCH(2,AA$14:AA$17,0))</f>
        <v>2</v>
      </c>
      <c r="O15" s="26">
        <f>INDEX(X$14:X$17,MATCH(2,AA$14:AA$17,0))</f>
        <v>0</v>
      </c>
      <c r="P15" s="27">
        <f>INDEX(Y$14:Y$17,MATCH(2,AA$14:AA$17,0))</f>
        <v>1</v>
      </c>
      <c r="Q15" s="9" t="str">
        <f>Q6</f>
        <v>Egito</v>
      </c>
      <c r="R15" s="9">
        <f>((D5&lt;&gt;"")*( F5&lt;&gt;""))+((D8&lt;&gt;"")*( F8&lt;&gt;""))+((D9&lt;&gt;"")*( F9&lt;&gt;""))</f>
        <v>1</v>
      </c>
      <c r="S15" s="9">
        <f>IF(AND(D5&lt;&gt;"",F5&lt;&gt;""),IF(F5&gt;D5,1,0),0)+IF(AND(D8&lt;&gt;"",F8&lt;&gt;""),IF(F8&gt;D8,1,0),0)+IF(AND(D9&lt;&gt;"",F9&lt;&gt;""),IF(D9&gt;F9,1,0),0)</f>
        <v>0</v>
      </c>
      <c r="T15" s="9">
        <f>IF(AND(D5&lt;&gt;"",F5&lt;&gt;""),IF(D5=F5,1,0),0)+IF(AND(D8&lt;&gt;"",F8&lt;&gt;""),IF(D8=F8,1,0),0)+IF(AND(D9&lt;&gt;"",F9&lt;&gt;""),IF(D9=F9,1,0),0)</f>
        <v>1</v>
      </c>
      <c r="U15" s="9">
        <f>IF(AND(D5&lt;&gt;"",F5&lt;&gt;""),IF(F5&lt;D5,1,0),0)+IF(AND(D8&lt;&gt;"",F8&lt;&gt;""),IF(F8&lt;D8,1,0),0)+IF(AND(D9&lt;&gt;"",F9&lt;&gt;""),IF(D9&lt;F9,1,0),0)</f>
        <v>0</v>
      </c>
      <c r="V15" s="9">
        <f>IF(F5="",0,F5)+IF(F8="",0,F8)+IF(D9="",0,D9)</f>
        <v>1</v>
      </c>
      <c r="W15" s="9">
        <f>IF(D5="",0,D5)+IF(D8="",0,D8)+IF(F9="",0,F9)</f>
        <v>1</v>
      </c>
      <c r="X15" s="9">
        <f>V15-W15</f>
        <v>0</v>
      </c>
      <c r="Y15" s="9">
        <f>S15*3+T15</f>
        <v>1</v>
      </c>
      <c r="Z15" s="9">
        <f>Y15*1000000+(X15+100)*10000+V15*100+3</f>
        <v>2000103</v>
      </c>
      <c r="AA15" s="9">
        <f>RANK(Z15,Z$14:Z$17,0)</f>
        <v>4</v>
      </c>
    </row>
    <row r="16" spans="1:27" ht="21.75" customHeight="1" x14ac:dyDescent="0.3">
      <c r="A16" s="28">
        <v>3</v>
      </c>
      <c r="B16" s="16" t="str">
        <f>INDEX(Q$14:Q$17,MATCH(3,AA$14:AA$17,0))</f>
        <v>Bélgica</v>
      </c>
      <c r="C16" s="25"/>
      <c r="D16" s="25"/>
      <c r="E16" s="25"/>
      <c r="F16" s="25"/>
      <c r="G16" s="25"/>
      <c r="H16" s="25"/>
      <c r="I16" s="26">
        <f>INDEX(R$14:R$17,MATCH(3,AA$14:AA$17,0))</f>
        <v>1</v>
      </c>
      <c r="J16" s="26">
        <f>INDEX(S$14:S$17,MATCH(3,AA$14:AA$17,0))</f>
        <v>0</v>
      </c>
      <c r="K16" s="26">
        <f>INDEX(T$14:T$17,MATCH(3,AA$14:AA$17,0))</f>
        <v>1</v>
      </c>
      <c r="L16" s="26">
        <f>INDEX(U$14:U$17,MATCH(3,AA$14:AA$17,0))</f>
        <v>0</v>
      </c>
      <c r="M16" s="26">
        <f>INDEX(V$14:V$17,MATCH(3,AA$14:AA$17,0))</f>
        <v>1</v>
      </c>
      <c r="N16" s="26">
        <f>INDEX(W$14:W$17,MATCH(3,AA$14:AA$17,0))</f>
        <v>1</v>
      </c>
      <c r="O16" s="26">
        <f>INDEX(X$14:X$17,MATCH(3,AA$14:AA$17,0))</f>
        <v>0</v>
      </c>
      <c r="P16" s="29">
        <f>INDEX(Y$14:Y$17,MATCH(3,AA$14:AA$17,0))</f>
        <v>1</v>
      </c>
      <c r="Q16" s="9" t="str">
        <f>Q7</f>
        <v>Irã</v>
      </c>
      <c r="R16" s="9">
        <f>((D6&lt;&gt;"")*( F6&lt;&gt;""))+((D7&lt;&gt;"")*( F7&lt;&gt;""))+((D9&lt;&gt;"")*( F9&lt;&gt;""))</f>
        <v>1</v>
      </c>
      <c r="S16" s="9">
        <f>IF(AND(D6&lt;&gt;"",F6&lt;&gt;""),IF(D6&gt;F6,1,0),0)+IF(AND(D7&lt;&gt;"",F7&lt;&gt;""),IF(F7&gt;D7,1,0),0)+IF(AND(D9&lt;&gt;"",F9&lt;&gt;""),IF(F9&gt;D9,1,0),0)</f>
        <v>0</v>
      </c>
      <c r="T16" s="9">
        <f>IF(AND(D6&lt;&gt;"",F6&lt;&gt;""),IF(D6=F6,1,0),0)+IF(AND(D7&lt;&gt;"",F7&lt;&gt;""),IF(D7=F7,1,0),0)+IF(AND(D9&lt;&gt;"",F9&lt;&gt;""),IF(D9=F9,1,0),0)</f>
        <v>1</v>
      </c>
      <c r="U16" s="9">
        <f>IF(AND(D6&lt;&gt;"",F6&lt;&gt;""),IF(D6&lt;F6,1,0),0)+IF(AND(D7&lt;&gt;"",F7&lt;&gt;""),IF(F7&lt;D7,1,0),0)+IF(AND(D9&lt;&gt;"",F9&lt;&gt;""),IF(F9&lt;D9,1,0),0)</f>
        <v>0</v>
      </c>
      <c r="V16" s="9">
        <f>IF(D6="",0,D6)+IF(F7="",0,F7)+IF(F9="",0,F9)</f>
        <v>2</v>
      </c>
      <c r="W16" s="9">
        <f>IF(F6="",0,F6)+IF(D7="",0,D7)+IF(D9="",0,D9)</f>
        <v>2</v>
      </c>
      <c r="X16" s="9">
        <f>V16-W16</f>
        <v>0</v>
      </c>
      <c r="Y16" s="9">
        <f>S16*3+T16</f>
        <v>1</v>
      </c>
      <c r="Z16" s="9">
        <f>Y16*1000000+(X16+100)*10000+V16*100+2</f>
        <v>2000202</v>
      </c>
      <c r="AA16" s="9">
        <f>RANK(Z16,Z$14:Z$17,0)</f>
        <v>1</v>
      </c>
    </row>
    <row r="17" spans="1:27" ht="21.75" customHeight="1" x14ac:dyDescent="0.3">
      <c r="A17" s="30">
        <v>4</v>
      </c>
      <c r="B17" s="16" t="str">
        <f>INDEX(Q$14:Q$17,MATCH(4,AA$14:AA$17,0))</f>
        <v>Egito</v>
      </c>
      <c r="C17" s="25"/>
      <c r="D17" s="25"/>
      <c r="E17" s="25"/>
      <c r="F17" s="25"/>
      <c r="G17" s="25"/>
      <c r="H17" s="25"/>
      <c r="I17" s="26">
        <f>INDEX(R$14:R$17,MATCH(4,AA$14:AA$17,0))</f>
        <v>1</v>
      </c>
      <c r="J17" s="26">
        <f>INDEX(S$14:S$17,MATCH(4,AA$14:AA$17,0))</f>
        <v>0</v>
      </c>
      <c r="K17" s="26">
        <f>INDEX(T$14:T$17,MATCH(4,AA$14:AA$17,0))</f>
        <v>1</v>
      </c>
      <c r="L17" s="26">
        <f>INDEX(U$14:U$17,MATCH(4,AA$14:AA$17,0))</f>
        <v>0</v>
      </c>
      <c r="M17" s="26">
        <f>INDEX(V$14:V$17,MATCH(4,AA$14:AA$17,0))</f>
        <v>1</v>
      </c>
      <c r="N17" s="26">
        <f>INDEX(W$14:W$17,MATCH(4,AA$14:AA$17,0))</f>
        <v>1</v>
      </c>
      <c r="O17" s="26">
        <f>INDEX(X$14:X$17,MATCH(4,AA$14:AA$17,0))</f>
        <v>0</v>
      </c>
      <c r="P17" s="31">
        <f>INDEX(Y$14:Y$17,MATCH(4,AA$14:AA$17,0))</f>
        <v>1</v>
      </c>
      <c r="Q17" s="9" t="str">
        <f>Q8</f>
        <v>Nova Zelândia</v>
      </c>
      <c r="R17" s="9">
        <f>((D6&lt;&gt;"")*( F6&lt;&gt;""))+((D8&lt;&gt;"")*( F8&lt;&gt;""))+((D10&lt;&gt;"")*( F10&lt;&gt;""))</f>
        <v>1</v>
      </c>
      <c r="S17" s="9">
        <f>IF(AND(D6&lt;&gt;"",F6&lt;&gt;""),IF(F6&gt;D6,1,0),0)+IF(AND(D8&lt;&gt;"",F8&lt;&gt;""),IF(D8&gt;F8,1,0),0)+IF(AND(D10&lt;&gt;"",F10&lt;&gt;""),IF(D10&gt;F10,1,0),0)</f>
        <v>0</v>
      </c>
      <c r="T17" s="9">
        <f>IF(AND(D6&lt;&gt;"",F6&lt;&gt;""),IF(D6=F6,1,0),0)+IF(AND(D8&lt;&gt;"",F8&lt;&gt;""),IF(D8=F8,1,0),0)+IF(AND(D10&lt;&gt;"",F10&lt;&gt;""),IF(D10=F10,1,0),0)</f>
        <v>1</v>
      </c>
      <c r="U17" s="9">
        <f>IF(AND(D6&lt;&gt;"",F6&lt;&gt;""),IF(F6&lt;D6,1,0),0)+IF(AND(D8&lt;&gt;"",F8&lt;&gt;""),IF(D8&lt;F8,1,0),0)+IF(AND(D10&lt;&gt;"",F10&lt;&gt;""),IF(D10&lt;F10,1,0),0)</f>
        <v>0</v>
      </c>
      <c r="V17" s="9">
        <f>IF(F6="",0,F6)+IF(D8="",0,D8)+IF(D10="",0,D10)</f>
        <v>2</v>
      </c>
      <c r="W17" s="9">
        <f>IF(D6="",0,D6)+IF(F8="",0,F8)+IF(F10="",0,F10)</f>
        <v>2</v>
      </c>
      <c r="X17" s="9">
        <f>V17-W17</f>
        <v>0</v>
      </c>
      <c r="Y17" s="9">
        <f>S17*3+T17</f>
        <v>1</v>
      </c>
      <c r="Z17" s="9">
        <f>Y17*1000000+(X17+100)*10000+V17*100+1</f>
        <v>2000201</v>
      </c>
      <c r="AA17" s="9">
        <f>RANK(Z17,Z$14:Z$17,0)</f>
        <v>2</v>
      </c>
    </row>
    <row r="19" spans="1:27" ht="7.5" customHeight="1" x14ac:dyDescent="0.3"/>
    <row r="20" spans="1:27" ht="15.75" customHeight="1" x14ac:dyDescent="0.3">
      <c r="A20" s="73" t="s">
        <v>44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</sheetData>
  <mergeCells count="13">
    <mergeCell ref="A20:P20"/>
    <mergeCell ref="M10:P10"/>
    <mergeCell ref="I4:K4"/>
    <mergeCell ref="I7:K7"/>
    <mergeCell ref="I6:K6"/>
    <mergeCell ref="M5:P5"/>
    <mergeCell ref="I10:K10"/>
    <mergeCell ref="A1:P1"/>
    <mergeCell ref="I5:K5"/>
    <mergeCell ref="I9:K9"/>
    <mergeCell ref="I8:K8"/>
    <mergeCell ref="A12:P12"/>
    <mergeCell ref="A3:P3"/>
  </mergeCells>
  <hyperlinks>
    <hyperlink ref="M6" location="'Gr-A'!A1" display="A" xr:uid="{00000000-0004-0000-0700-000000000000}"/>
    <hyperlink ref="N6" location="'Gr-B'!A1" display="B" xr:uid="{00000000-0004-0000-0700-000001000000}"/>
    <hyperlink ref="O6" location="'Gr-C'!A1" display="C" xr:uid="{00000000-0004-0000-0700-000002000000}"/>
    <hyperlink ref="P6" location="'Gr-D'!A1" display="D" xr:uid="{00000000-0004-0000-0700-000003000000}"/>
    <hyperlink ref="M7" location="'Gr-E'!A1" display="E" xr:uid="{00000000-0004-0000-0700-000004000000}"/>
    <hyperlink ref="N7" location="'Gr-F'!A1" display="F" xr:uid="{00000000-0004-0000-0700-000005000000}"/>
    <hyperlink ref="P7" location="'Gr-H'!A1" display="H" xr:uid="{00000000-0004-0000-0700-000006000000}"/>
    <hyperlink ref="M8" location="'Gr-I'!A1" display="I" xr:uid="{00000000-0004-0000-0700-000007000000}"/>
    <hyperlink ref="N8" location="'Gr-J'!A1" display="J" xr:uid="{00000000-0004-0000-0700-000008000000}"/>
    <hyperlink ref="O8" location="'Gr-K'!A1" display="K" xr:uid="{00000000-0004-0000-0700-000009000000}"/>
    <hyperlink ref="P8" location="'Gr-L'!A1" display="L" xr:uid="{00000000-0004-0000-0700-00000A000000}"/>
    <hyperlink ref="M10" r:id="rId1" xr:uid="{00000000-0004-0000-0700-00000B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AO20"/>
  <sheetViews>
    <sheetView showGridLines="0" zoomScaleNormal="100" workbookViewId="0">
      <selection activeCell="D6" sqref="D6"/>
    </sheetView>
  </sheetViews>
  <sheetFormatPr defaultColWidth="8.6640625" defaultRowHeight="14.4" x14ac:dyDescent="0.3"/>
  <cols>
    <col min="1" max="1" width="12" customWidth="1"/>
    <col min="2" max="2" width="22" customWidth="1"/>
    <col min="3" max="3" width="3" customWidth="1"/>
    <col min="4" max="4" width="6" customWidth="1"/>
    <col min="5" max="5" width="3" customWidth="1"/>
    <col min="6" max="6" width="6" customWidth="1"/>
    <col min="7" max="7" width="3" customWidth="1"/>
    <col min="8" max="8" width="22" customWidth="1"/>
    <col min="9" max="12" width="4" customWidth="1"/>
    <col min="13" max="16" width="5" customWidth="1"/>
    <col min="17" max="27" width="12" style="9" hidden="1" customWidth="1"/>
    <col min="28" max="28" width="8.21875" style="9" hidden="1" customWidth="1"/>
    <col min="29" max="31" width="8.6640625" style="9" hidden="1" customWidth="1"/>
    <col min="32" max="41" width="8.6640625" hidden="1" customWidth="1"/>
  </cols>
  <sheetData>
    <row r="1" spans="1:27" ht="31.5" customHeight="1" x14ac:dyDescent="0.3">
      <c r="A1" s="67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7" ht="6" customHeight="1" x14ac:dyDescent="0.3"/>
    <row r="3" spans="1:27" ht="19.5" customHeight="1" x14ac:dyDescent="0.3">
      <c r="A3" s="72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7" ht="18" customHeight="1" x14ac:dyDescent="0.3">
      <c r="A4" s="10" t="s">
        <v>2</v>
      </c>
      <c r="B4" s="10" t="s">
        <v>3</v>
      </c>
      <c r="D4" s="10" t="s">
        <v>4</v>
      </c>
      <c r="F4" s="10" t="s">
        <v>5</v>
      </c>
      <c r="H4" s="10" t="s">
        <v>6</v>
      </c>
      <c r="I4" s="75" t="s">
        <v>7</v>
      </c>
      <c r="J4" s="69"/>
      <c r="K4" s="70"/>
    </row>
    <row r="5" spans="1:27" ht="21.75" customHeight="1" x14ac:dyDescent="0.3">
      <c r="A5" s="11" t="s">
        <v>151</v>
      </c>
      <c r="B5" s="12" t="str">
        <f>Q5</f>
        <v>Espanha</v>
      </c>
      <c r="C5" s="13"/>
      <c r="D5" s="14">
        <v>0</v>
      </c>
      <c r="E5" s="15" t="s">
        <v>9</v>
      </c>
      <c r="F5" s="14">
        <v>0</v>
      </c>
      <c r="G5" s="13"/>
      <c r="H5" s="16" t="str">
        <f>Q6</f>
        <v>Cabo Verde</v>
      </c>
      <c r="I5" s="68" t="s">
        <v>19</v>
      </c>
      <c r="J5" s="69"/>
      <c r="K5" s="70"/>
      <c r="M5" s="76" t="s">
        <v>10</v>
      </c>
      <c r="N5" s="77"/>
      <c r="O5" s="77"/>
      <c r="P5" s="78"/>
      <c r="Q5" s="9" t="s">
        <v>152</v>
      </c>
    </row>
    <row r="6" spans="1:27" ht="21.75" customHeight="1" x14ac:dyDescent="0.3">
      <c r="A6" s="17" t="s">
        <v>153</v>
      </c>
      <c r="B6" s="18" t="str">
        <f>Q7</f>
        <v>Arábia Saudita</v>
      </c>
      <c r="C6" s="19"/>
      <c r="D6" s="14">
        <v>1</v>
      </c>
      <c r="E6" s="20" t="s">
        <v>9</v>
      </c>
      <c r="F6" s="14">
        <v>1</v>
      </c>
      <c r="G6" s="19"/>
      <c r="H6" s="21" t="str">
        <f>Q8</f>
        <v>Uruguai</v>
      </c>
      <c r="I6" s="71" t="s">
        <v>102</v>
      </c>
      <c r="J6" s="69"/>
      <c r="K6" s="70"/>
      <c r="M6" s="23" t="s">
        <v>13</v>
      </c>
      <c r="N6" s="23" t="s">
        <v>14</v>
      </c>
      <c r="O6" s="23" t="s">
        <v>15</v>
      </c>
      <c r="P6" s="23" t="s">
        <v>16</v>
      </c>
      <c r="Q6" s="9" t="s">
        <v>154</v>
      </c>
    </row>
    <row r="7" spans="1:27" ht="21.75" customHeight="1" x14ac:dyDescent="0.3">
      <c r="A7" s="11" t="s">
        <v>155</v>
      </c>
      <c r="B7" s="12" t="str">
        <f>Q5</f>
        <v>Espanha</v>
      </c>
      <c r="C7" s="13"/>
      <c r="D7" s="14"/>
      <c r="E7" s="15" t="s">
        <v>9</v>
      </c>
      <c r="F7" s="14"/>
      <c r="G7" s="13"/>
      <c r="H7" s="16" t="str">
        <f>Q7</f>
        <v>Arábia Saudita</v>
      </c>
      <c r="I7" s="68" t="s">
        <v>19</v>
      </c>
      <c r="J7" s="69"/>
      <c r="K7" s="70"/>
      <c r="M7" s="23" t="s">
        <v>20</v>
      </c>
      <c r="N7" s="23" t="s">
        <v>21</v>
      </c>
      <c r="O7" s="23" t="s">
        <v>22</v>
      </c>
      <c r="P7" s="32" t="s">
        <v>23</v>
      </c>
      <c r="Q7" s="9" t="s">
        <v>156</v>
      </c>
    </row>
    <row r="8" spans="1:27" ht="21.75" customHeight="1" x14ac:dyDescent="0.3">
      <c r="A8" s="17" t="s">
        <v>157</v>
      </c>
      <c r="B8" s="18" t="str">
        <f>Q8</f>
        <v>Uruguai</v>
      </c>
      <c r="C8" s="19"/>
      <c r="D8" s="14"/>
      <c r="E8" s="20" t="s">
        <v>9</v>
      </c>
      <c r="F8" s="14"/>
      <c r="G8" s="19"/>
      <c r="H8" s="21" t="str">
        <f>Q6</f>
        <v>Cabo Verde</v>
      </c>
      <c r="I8" s="71" t="s">
        <v>102</v>
      </c>
      <c r="J8" s="69"/>
      <c r="K8" s="70"/>
      <c r="M8" s="23" t="s">
        <v>27</v>
      </c>
      <c r="N8" s="23" t="s">
        <v>28</v>
      </c>
      <c r="O8" s="23" t="s">
        <v>29</v>
      </c>
      <c r="P8" s="23" t="s">
        <v>30</v>
      </c>
      <c r="Q8" s="9" t="s">
        <v>158</v>
      </c>
    </row>
    <row r="9" spans="1:27" ht="21.75" customHeight="1" x14ac:dyDescent="0.3">
      <c r="A9" s="11" t="s">
        <v>159</v>
      </c>
      <c r="B9" s="12" t="str">
        <f>Q6</f>
        <v>Cabo Verde</v>
      </c>
      <c r="C9" s="13"/>
      <c r="D9" s="14"/>
      <c r="E9" s="15" t="s">
        <v>9</v>
      </c>
      <c r="F9" s="14"/>
      <c r="G9" s="13"/>
      <c r="H9" s="16" t="str">
        <f>Q7</f>
        <v>Arábia Saudita</v>
      </c>
      <c r="I9" s="68" t="s">
        <v>117</v>
      </c>
      <c r="J9" s="69"/>
      <c r="K9" s="70"/>
    </row>
    <row r="10" spans="1:27" ht="21.75" customHeight="1" x14ac:dyDescent="0.3">
      <c r="A10" s="17" t="s">
        <v>159</v>
      </c>
      <c r="B10" s="18" t="str">
        <f>Q8</f>
        <v>Uruguai</v>
      </c>
      <c r="C10" s="19"/>
      <c r="D10" s="14"/>
      <c r="E10" s="20" t="s">
        <v>9</v>
      </c>
      <c r="F10" s="14"/>
      <c r="G10" s="19"/>
      <c r="H10" s="21" t="str">
        <f>Q5</f>
        <v>Espanha</v>
      </c>
      <c r="I10" s="71" t="s">
        <v>26</v>
      </c>
      <c r="J10" s="69"/>
      <c r="K10" s="70"/>
      <c r="M10" s="74" t="s">
        <v>35</v>
      </c>
      <c r="N10" s="66"/>
      <c r="O10" s="66"/>
      <c r="P10" s="66"/>
    </row>
    <row r="11" spans="1:27" ht="7.5" customHeight="1" x14ac:dyDescent="0.3"/>
    <row r="12" spans="1:27" ht="19.5" customHeight="1" x14ac:dyDescent="0.3">
      <c r="A12" s="72" t="s">
        <v>36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27" ht="18" customHeight="1" x14ac:dyDescent="0.3">
      <c r="A13" s="10" t="s">
        <v>37</v>
      </c>
      <c r="B13" s="10" t="s">
        <v>38</v>
      </c>
      <c r="C13" s="10"/>
      <c r="D13" s="10"/>
      <c r="E13" s="10"/>
      <c r="F13" s="10"/>
      <c r="G13" s="10"/>
      <c r="H13" s="10"/>
      <c r="I13" s="10" t="s">
        <v>28</v>
      </c>
      <c r="J13" s="10" t="s">
        <v>39</v>
      </c>
      <c r="K13" s="10" t="s">
        <v>20</v>
      </c>
      <c r="L13" s="10" t="s">
        <v>16</v>
      </c>
      <c r="M13" s="10" t="s">
        <v>40</v>
      </c>
      <c r="N13" s="10" t="s">
        <v>41</v>
      </c>
      <c r="O13" s="10" t="s">
        <v>42</v>
      </c>
      <c r="P13" s="10" t="s">
        <v>43</v>
      </c>
    </row>
    <row r="14" spans="1:27" ht="21.75" customHeight="1" x14ac:dyDescent="0.3">
      <c r="A14" s="24">
        <v>1</v>
      </c>
      <c r="B14" s="16" t="str">
        <f>INDEX(Q$14:Q$17,MATCH(1,AA$14:AA$17,0))</f>
        <v>Arábia Saudita</v>
      </c>
      <c r="C14" s="25"/>
      <c r="D14" s="25"/>
      <c r="E14" s="25"/>
      <c r="F14" s="25"/>
      <c r="G14" s="25"/>
      <c r="H14" s="25"/>
      <c r="I14" s="26">
        <f>INDEX(R$14:R$17,MATCH(1,AA$14:AA$17,0))</f>
        <v>1</v>
      </c>
      <c r="J14" s="26">
        <f>INDEX(S$14:S$17,MATCH(1,AA$14:AA$17,0))</f>
        <v>0</v>
      </c>
      <c r="K14" s="26">
        <f>INDEX(T$14:T$17,MATCH(1,AA$14:AA$17,0))</f>
        <v>1</v>
      </c>
      <c r="L14" s="26">
        <f>INDEX(U$14:U$17,MATCH(1,AA$14:AA$17,0))</f>
        <v>0</v>
      </c>
      <c r="M14" s="26">
        <f>INDEX(V$14:V$17,MATCH(1,AA$14:AA$17,0))</f>
        <v>1</v>
      </c>
      <c r="N14" s="26">
        <f>INDEX(W$14:W$17,MATCH(1,AA$14:AA$17,0))</f>
        <v>1</v>
      </c>
      <c r="O14" s="26">
        <f>INDEX(X$14:X$17,MATCH(1,AA$14:AA$17,0))</f>
        <v>0</v>
      </c>
      <c r="P14" s="27">
        <f>INDEX(Y$14:Y$17,MATCH(1,AA$14:AA$17,0))</f>
        <v>1</v>
      </c>
      <c r="Q14" s="9" t="str">
        <f>Q5</f>
        <v>Espanha</v>
      </c>
      <c r="R14" s="9">
        <f>((D5&lt;&gt;"")*( F5&lt;&gt;""))+((D7&lt;&gt;"")*( F7&lt;&gt;""))+((D10&lt;&gt;"")*( F10&lt;&gt;""))</f>
        <v>1</v>
      </c>
      <c r="S14" s="9">
        <f>IF(AND(D5&lt;&gt;"",F5&lt;&gt;""),IF(D5&gt;F5,1,0),0)+IF(AND(D7&lt;&gt;"",F7&lt;&gt;""),IF(D7&gt;F7,1,0),0)+IF(AND(D10&lt;&gt;"",F10&lt;&gt;""),IF(F10&gt;D10,1,0),0)</f>
        <v>0</v>
      </c>
      <c r="T14" s="9">
        <f>IF(AND(D5&lt;&gt;"",F5&lt;&gt;""),IF(D5=F5,1,0),0)+IF(AND(D7&lt;&gt;"",F7&lt;&gt;""),IF(D7=F7,1,0),0)+IF(AND(D10&lt;&gt;"",F10&lt;&gt;""),IF(D10=F10,1,0),0)</f>
        <v>1</v>
      </c>
      <c r="U14" s="9">
        <f>IF(AND(D5&lt;&gt;"",F5&lt;&gt;""),IF(D5&lt;F5,1,0),0)+IF(AND(D7&lt;&gt;"",F7&lt;&gt;""),IF(D7&lt;F7,1,0),0)+IF(AND(D10&lt;&gt;"",F10&lt;&gt;""),IF(F10&lt;D10,1,0),0)</f>
        <v>0</v>
      </c>
      <c r="V14" s="9">
        <f>IF(D5="",0,D5)+IF(D7="",0,D7)+IF(F10="",0,F10)</f>
        <v>0</v>
      </c>
      <c r="W14" s="9">
        <f>IF(F5="",0,F5)+IF(F7="",0,F7)+IF(D10="",0,D10)</f>
        <v>0</v>
      </c>
      <c r="X14" s="9">
        <f>V14-W14</f>
        <v>0</v>
      </c>
      <c r="Y14" s="9">
        <f>S14*3+T14</f>
        <v>1</v>
      </c>
      <c r="Z14" s="9">
        <f>Y14*1000000+(X14+100)*10000+V14*100+4</f>
        <v>2000004</v>
      </c>
      <c r="AA14" s="9">
        <f>RANK(Z14,Z$14:Z$17,0)</f>
        <v>3</v>
      </c>
    </row>
    <row r="15" spans="1:27" ht="21.75" customHeight="1" x14ac:dyDescent="0.3">
      <c r="A15" s="24">
        <v>2</v>
      </c>
      <c r="B15" s="16" t="str">
        <f>INDEX(Q$14:Q$17,MATCH(2,AA$14:AA$17,0))</f>
        <v>Uruguai</v>
      </c>
      <c r="C15" s="25"/>
      <c r="D15" s="25"/>
      <c r="E15" s="25"/>
      <c r="F15" s="25"/>
      <c r="G15" s="25"/>
      <c r="H15" s="25"/>
      <c r="I15" s="26">
        <f>INDEX(R$14:R$17,MATCH(2,AA$14:AA$17,0))</f>
        <v>1</v>
      </c>
      <c r="J15" s="26">
        <f>INDEX(S$14:S$17,MATCH(2,AA$14:AA$17,0))</f>
        <v>0</v>
      </c>
      <c r="K15" s="26">
        <f>INDEX(T$14:T$17,MATCH(2,AA$14:AA$17,0))</f>
        <v>1</v>
      </c>
      <c r="L15" s="26">
        <f>INDEX(U$14:U$17,MATCH(2,AA$14:AA$17,0))</f>
        <v>0</v>
      </c>
      <c r="M15" s="26">
        <f>INDEX(V$14:V$17,MATCH(2,AA$14:AA$17,0))</f>
        <v>1</v>
      </c>
      <c r="N15" s="26">
        <f>INDEX(W$14:W$17,MATCH(2,AA$14:AA$17,0))</f>
        <v>1</v>
      </c>
      <c r="O15" s="26">
        <f>INDEX(X$14:X$17,MATCH(2,AA$14:AA$17,0))</f>
        <v>0</v>
      </c>
      <c r="P15" s="27">
        <f>INDEX(Y$14:Y$17,MATCH(2,AA$14:AA$17,0))</f>
        <v>1</v>
      </c>
      <c r="Q15" s="9" t="str">
        <f>Q6</f>
        <v>Cabo Verde</v>
      </c>
      <c r="R15" s="9">
        <f>((D5&lt;&gt;"")*( F5&lt;&gt;""))+((D8&lt;&gt;"")*( F8&lt;&gt;""))+((D9&lt;&gt;"")*( F9&lt;&gt;""))</f>
        <v>1</v>
      </c>
      <c r="S15" s="9">
        <f>IF(AND(D5&lt;&gt;"",F5&lt;&gt;""),IF(F5&gt;D5,1,0),0)+IF(AND(D8&lt;&gt;"",F8&lt;&gt;""),IF(F8&gt;D8,1,0),0)+IF(AND(D9&lt;&gt;"",F9&lt;&gt;""),IF(D9&gt;F9,1,0),0)</f>
        <v>0</v>
      </c>
      <c r="T15" s="9">
        <f>IF(AND(D5&lt;&gt;"",F5&lt;&gt;""),IF(D5=F5,1,0),0)+IF(AND(D8&lt;&gt;"",F8&lt;&gt;""),IF(D8=F8,1,0),0)+IF(AND(D9&lt;&gt;"",F9&lt;&gt;""),IF(D9=F9,1,0),0)</f>
        <v>1</v>
      </c>
      <c r="U15" s="9">
        <f>IF(AND(D5&lt;&gt;"",F5&lt;&gt;""),IF(F5&lt;D5,1,0),0)+IF(AND(D8&lt;&gt;"",F8&lt;&gt;""),IF(F8&lt;D8,1,0),0)+IF(AND(D9&lt;&gt;"",F9&lt;&gt;""),IF(D9&lt;F9,1,0),0)</f>
        <v>0</v>
      </c>
      <c r="V15" s="9">
        <f>IF(F5="",0,F5)+IF(F8="",0,F8)+IF(D9="",0,D9)</f>
        <v>0</v>
      </c>
      <c r="W15" s="9">
        <f>IF(D5="",0,D5)+IF(D8="",0,D8)+IF(F9="",0,F9)</f>
        <v>0</v>
      </c>
      <c r="X15" s="9">
        <f>V15-W15</f>
        <v>0</v>
      </c>
      <c r="Y15" s="9">
        <f>S15*3+T15</f>
        <v>1</v>
      </c>
      <c r="Z15" s="9">
        <f>Y15*1000000+(X15+100)*10000+V15*100+3</f>
        <v>2000003</v>
      </c>
      <c r="AA15" s="9">
        <f>RANK(Z15,Z$14:Z$17,0)</f>
        <v>4</v>
      </c>
    </row>
    <row r="16" spans="1:27" ht="21.75" customHeight="1" x14ac:dyDescent="0.3">
      <c r="A16" s="28">
        <v>3</v>
      </c>
      <c r="B16" s="16" t="str">
        <f>INDEX(Q$14:Q$17,MATCH(3,AA$14:AA$17,0))</f>
        <v>Espanha</v>
      </c>
      <c r="C16" s="25"/>
      <c r="D16" s="25"/>
      <c r="E16" s="25"/>
      <c r="F16" s="25"/>
      <c r="G16" s="25"/>
      <c r="H16" s="25"/>
      <c r="I16" s="26">
        <f>INDEX(R$14:R$17,MATCH(3,AA$14:AA$17,0))</f>
        <v>1</v>
      </c>
      <c r="J16" s="26">
        <f>INDEX(S$14:S$17,MATCH(3,AA$14:AA$17,0))</f>
        <v>0</v>
      </c>
      <c r="K16" s="26">
        <f>INDEX(T$14:T$17,MATCH(3,AA$14:AA$17,0))</f>
        <v>1</v>
      </c>
      <c r="L16" s="26">
        <f>INDEX(U$14:U$17,MATCH(3,AA$14:AA$17,0))</f>
        <v>0</v>
      </c>
      <c r="M16" s="26">
        <f>INDEX(V$14:V$17,MATCH(3,AA$14:AA$17,0))</f>
        <v>0</v>
      </c>
      <c r="N16" s="26">
        <f>INDEX(W$14:W$17,MATCH(3,AA$14:AA$17,0))</f>
        <v>0</v>
      </c>
      <c r="O16" s="26">
        <f>INDEX(X$14:X$17,MATCH(3,AA$14:AA$17,0))</f>
        <v>0</v>
      </c>
      <c r="P16" s="29">
        <f>INDEX(Y$14:Y$17,MATCH(3,AA$14:AA$17,0))</f>
        <v>1</v>
      </c>
      <c r="Q16" s="9" t="str">
        <f>Q7</f>
        <v>Arábia Saudita</v>
      </c>
      <c r="R16" s="9">
        <f>((D6&lt;&gt;"")*( F6&lt;&gt;""))+((D7&lt;&gt;"")*( F7&lt;&gt;""))+((D9&lt;&gt;"")*( F9&lt;&gt;""))</f>
        <v>1</v>
      </c>
      <c r="S16" s="9">
        <f>IF(AND(D6&lt;&gt;"",F6&lt;&gt;""),IF(D6&gt;F6,1,0),0)+IF(AND(D7&lt;&gt;"",F7&lt;&gt;""),IF(F7&gt;D7,1,0),0)+IF(AND(D9&lt;&gt;"",F9&lt;&gt;""),IF(F9&gt;D9,1,0),0)</f>
        <v>0</v>
      </c>
      <c r="T16" s="9">
        <f>IF(AND(D6&lt;&gt;"",F6&lt;&gt;""),IF(D6=F6,1,0),0)+IF(AND(D7&lt;&gt;"",F7&lt;&gt;""),IF(D7=F7,1,0),0)+IF(AND(D9&lt;&gt;"",F9&lt;&gt;""),IF(D9=F9,1,0),0)</f>
        <v>1</v>
      </c>
      <c r="U16" s="9">
        <f>IF(AND(D6&lt;&gt;"",F6&lt;&gt;""),IF(D6&lt;F6,1,0),0)+IF(AND(D7&lt;&gt;"",F7&lt;&gt;""),IF(F7&lt;D7,1,0),0)+IF(AND(D9&lt;&gt;"",F9&lt;&gt;""),IF(F9&lt;D9,1,0),0)</f>
        <v>0</v>
      </c>
      <c r="V16" s="9">
        <f>IF(D6="",0,D6)+IF(F7="",0,F7)+IF(F9="",0,F9)</f>
        <v>1</v>
      </c>
      <c r="W16" s="9">
        <f>IF(F6="",0,F6)+IF(D7="",0,D7)+IF(D9="",0,D9)</f>
        <v>1</v>
      </c>
      <c r="X16" s="9">
        <f>V16-W16</f>
        <v>0</v>
      </c>
      <c r="Y16" s="9">
        <f>S16*3+T16</f>
        <v>1</v>
      </c>
      <c r="Z16" s="9">
        <f>Y16*1000000+(X16+100)*10000+V16*100+2</f>
        <v>2000102</v>
      </c>
      <c r="AA16" s="9">
        <f>RANK(Z16,Z$14:Z$17,0)</f>
        <v>1</v>
      </c>
    </row>
    <row r="17" spans="1:27" ht="21.75" customHeight="1" x14ac:dyDescent="0.3">
      <c r="A17" s="30">
        <v>4</v>
      </c>
      <c r="B17" s="16" t="str">
        <f>INDEX(Q$14:Q$17,MATCH(4,AA$14:AA$17,0))</f>
        <v>Cabo Verde</v>
      </c>
      <c r="C17" s="25"/>
      <c r="D17" s="25"/>
      <c r="E17" s="25"/>
      <c r="F17" s="25"/>
      <c r="G17" s="25"/>
      <c r="H17" s="25"/>
      <c r="I17" s="26">
        <f>INDEX(R$14:R$17,MATCH(4,AA$14:AA$17,0))</f>
        <v>1</v>
      </c>
      <c r="J17" s="26">
        <f>INDEX(S$14:S$17,MATCH(4,AA$14:AA$17,0))</f>
        <v>0</v>
      </c>
      <c r="K17" s="26">
        <f>INDEX(T$14:T$17,MATCH(4,AA$14:AA$17,0))</f>
        <v>1</v>
      </c>
      <c r="L17" s="26">
        <f>INDEX(U$14:U$17,MATCH(4,AA$14:AA$17,0))</f>
        <v>0</v>
      </c>
      <c r="M17" s="26">
        <f>INDEX(V$14:V$17,MATCH(4,AA$14:AA$17,0))</f>
        <v>0</v>
      </c>
      <c r="N17" s="26">
        <f>INDEX(W$14:W$17,MATCH(4,AA$14:AA$17,0))</f>
        <v>0</v>
      </c>
      <c r="O17" s="26">
        <f>INDEX(X$14:X$17,MATCH(4,AA$14:AA$17,0))</f>
        <v>0</v>
      </c>
      <c r="P17" s="31">
        <f>INDEX(Y$14:Y$17,MATCH(4,AA$14:AA$17,0))</f>
        <v>1</v>
      </c>
      <c r="Q17" s="9" t="str">
        <f>Q8</f>
        <v>Uruguai</v>
      </c>
      <c r="R17" s="9">
        <f>((D6&lt;&gt;"")*( F6&lt;&gt;""))+((D8&lt;&gt;"")*( F8&lt;&gt;""))+((D10&lt;&gt;"")*( F10&lt;&gt;""))</f>
        <v>1</v>
      </c>
      <c r="S17" s="9">
        <f>IF(AND(D6&lt;&gt;"",F6&lt;&gt;""),IF(F6&gt;D6,1,0),0)+IF(AND(D8&lt;&gt;"",F8&lt;&gt;""),IF(D8&gt;F8,1,0),0)+IF(AND(D10&lt;&gt;"",F10&lt;&gt;""),IF(D10&gt;F10,1,0),0)</f>
        <v>0</v>
      </c>
      <c r="T17" s="9">
        <f>IF(AND(D6&lt;&gt;"",F6&lt;&gt;""),IF(D6=F6,1,0),0)+IF(AND(D8&lt;&gt;"",F8&lt;&gt;""),IF(D8=F8,1,0),0)+IF(AND(D10&lt;&gt;"",F10&lt;&gt;""),IF(D10=F10,1,0),0)</f>
        <v>1</v>
      </c>
      <c r="U17" s="9">
        <f>IF(AND(D6&lt;&gt;"",F6&lt;&gt;""),IF(F6&lt;D6,1,0),0)+IF(AND(D8&lt;&gt;"",F8&lt;&gt;""),IF(D8&lt;F8,1,0),0)+IF(AND(D10&lt;&gt;"",F10&lt;&gt;""),IF(D10&lt;F10,1,0),0)</f>
        <v>0</v>
      </c>
      <c r="V17" s="9">
        <f>IF(F6="",0,F6)+IF(D8="",0,D8)+IF(D10="",0,D10)</f>
        <v>1</v>
      </c>
      <c r="W17" s="9">
        <f>IF(D6="",0,D6)+IF(F8="",0,F8)+IF(F10="",0,F10)</f>
        <v>1</v>
      </c>
      <c r="X17" s="9">
        <f>V17-W17</f>
        <v>0</v>
      </c>
      <c r="Y17" s="9">
        <f>S17*3+T17</f>
        <v>1</v>
      </c>
      <c r="Z17" s="9">
        <f>Y17*1000000+(X17+100)*10000+V17*100+1</f>
        <v>2000101</v>
      </c>
      <c r="AA17" s="9">
        <f>RANK(Z17,Z$14:Z$17,0)</f>
        <v>2</v>
      </c>
    </row>
    <row r="19" spans="1:27" ht="7.5" customHeight="1" x14ac:dyDescent="0.3"/>
    <row r="20" spans="1:27" ht="15.75" customHeight="1" x14ac:dyDescent="0.3">
      <c r="A20" s="73" t="s">
        <v>44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</sheetData>
  <mergeCells count="13">
    <mergeCell ref="A20:P20"/>
    <mergeCell ref="M10:P10"/>
    <mergeCell ref="I4:K4"/>
    <mergeCell ref="I7:K7"/>
    <mergeCell ref="I6:K6"/>
    <mergeCell ref="M5:P5"/>
    <mergeCell ref="I10:K10"/>
    <mergeCell ref="A1:P1"/>
    <mergeCell ref="I5:K5"/>
    <mergeCell ref="I9:K9"/>
    <mergeCell ref="I8:K8"/>
    <mergeCell ref="A12:P12"/>
    <mergeCell ref="A3:P3"/>
  </mergeCells>
  <hyperlinks>
    <hyperlink ref="M6" location="'Gr-A'!A1" display="A" xr:uid="{00000000-0004-0000-0800-000000000000}"/>
    <hyperlink ref="N6" location="'Gr-B'!A1" display="B" xr:uid="{00000000-0004-0000-0800-000001000000}"/>
    <hyperlink ref="O6" location="'Gr-C'!A1" display="C" xr:uid="{00000000-0004-0000-0800-000002000000}"/>
    <hyperlink ref="P6" location="'Gr-D'!A1" display="D" xr:uid="{00000000-0004-0000-0800-000003000000}"/>
    <hyperlink ref="M7" location="'Gr-E'!A1" display="E" xr:uid="{00000000-0004-0000-0800-000004000000}"/>
    <hyperlink ref="N7" location="'Gr-F'!A1" display="F" xr:uid="{00000000-0004-0000-0800-000005000000}"/>
    <hyperlink ref="O7" location="'Gr-G'!A1" display="G" xr:uid="{00000000-0004-0000-0800-000006000000}"/>
    <hyperlink ref="M8" location="'Gr-I'!A1" display="I" xr:uid="{00000000-0004-0000-0800-000007000000}"/>
    <hyperlink ref="N8" location="'Gr-J'!A1" display="J" xr:uid="{00000000-0004-0000-0800-000008000000}"/>
    <hyperlink ref="O8" location="'Gr-K'!A1" display="K" xr:uid="{00000000-0004-0000-0800-000009000000}"/>
    <hyperlink ref="P8" location="'Gr-L'!A1" display="L" xr:uid="{00000000-0004-0000-0800-00000A000000}"/>
    <hyperlink ref="M10" r:id="rId1" xr:uid="{00000000-0004-0000-0800-00000B000000}"/>
  </hyperlink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2</vt:i4>
      </vt:variant>
    </vt:vector>
  </HeadingPairs>
  <TitlesOfParts>
    <vt:vector size="17" baseType="lpstr">
      <vt:lpstr>Instruções</vt:lpstr>
      <vt:lpstr>Gr-A</vt:lpstr>
      <vt:lpstr>Gr-B</vt:lpstr>
      <vt:lpstr>Gr-C</vt:lpstr>
      <vt:lpstr>Gr-D</vt:lpstr>
      <vt:lpstr>Gr-E</vt:lpstr>
      <vt:lpstr>Gr-F</vt:lpstr>
      <vt:lpstr>Gr-G</vt:lpstr>
      <vt:lpstr>Gr-H</vt:lpstr>
      <vt:lpstr>Gr-I</vt:lpstr>
      <vt:lpstr>Gr-J</vt:lpstr>
      <vt:lpstr>Gr-K</vt:lpstr>
      <vt:lpstr>Gr-L</vt:lpstr>
      <vt:lpstr>Respecagem</vt:lpstr>
      <vt:lpstr>Mata-Mata</vt:lpstr>
      <vt:lpstr>A2A</vt:lpstr>
      <vt:lpstr>D2A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Edi Barboza</cp:lastModifiedBy>
  <cp:revision>0</cp:revision>
  <dcterms:created xsi:type="dcterms:W3CDTF">2026-05-22T12:33:04Z</dcterms:created>
  <dcterms:modified xsi:type="dcterms:W3CDTF">2026-06-20T22:00:56Z</dcterms:modified>
  <dc:language>en-US</dc:language>
</cp:coreProperties>
</file>